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9260" windowHeight="4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<sst xmlns="http://schemas.openxmlformats.org/spreadsheetml/2006/main" count="1485" uniqueCount="306">
  <si>
    <t>DAILY SCORES</t>
  </si>
  <si>
    <t>Pilot</t>
  </si>
  <si>
    <t>Hcp</t>
  </si>
  <si>
    <t xml:space="preserve">Time </t>
  </si>
  <si>
    <t>Raw</t>
  </si>
  <si>
    <t>Ass.</t>
  </si>
  <si>
    <t>Cred</t>
  </si>
  <si>
    <t>Glider</t>
  </si>
  <si>
    <t>Gl Hcp</t>
  </si>
  <si>
    <t>H20</t>
  </si>
  <si>
    <t>Dist</t>
  </si>
  <si>
    <t>hr</t>
  </si>
  <si>
    <t>min</t>
  </si>
  <si>
    <t>sec</t>
  </si>
  <si>
    <t>Speed*</t>
  </si>
  <si>
    <t>Task?</t>
  </si>
  <si>
    <t>Points*</t>
  </si>
  <si>
    <t>Start</t>
  </si>
  <si>
    <t>TP1</t>
  </si>
  <si>
    <t>TP2</t>
  </si>
  <si>
    <t>TP3</t>
  </si>
  <si>
    <t>TP4</t>
  </si>
  <si>
    <t>TP5</t>
  </si>
  <si>
    <t>TP6</t>
  </si>
  <si>
    <t>TP7</t>
  </si>
  <si>
    <t>TP8</t>
  </si>
  <si>
    <t>Finish</t>
  </si>
  <si>
    <t>Notes</t>
  </si>
  <si>
    <t>Quas, Bob</t>
  </si>
  <si>
    <t>cgc</t>
  </si>
  <si>
    <t>Kilian, Herb</t>
  </si>
  <si>
    <t xml:space="preserve">Cochrane, John </t>
  </si>
  <si>
    <t>Shakman, Michael</t>
  </si>
  <si>
    <t>Russell, Jeff</t>
  </si>
  <si>
    <t>Ridenour, Neal</t>
  </si>
  <si>
    <t>hinckley</t>
  </si>
  <si>
    <t>cushing</t>
  </si>
  <si>
    <t>Macys, Bob</t>
  </si>
  <si>
    <t>Konrath, Ray</t>
  </si>
  <si>
    <t>Carlson, Rich</t>
  </si>
  <si>
    <t>Ridenour, Ron</t>
  </si>
  <si>
    <t>Borycki, Marek</t>
  </si>
  <si>
    <t>SZD55</t>
  </si>
  <si>
    <t>DeRosa, John</t>
  </si>
  <si>
    <t>Akerley, Mark</t>
  </si>
  <si>
    <t>Spitz, Bob</t>
  </si>
  <si>
    <t>Norton, Robert</t>
  </si>
  <si>
    <t>Palmer, Greg</t>
  </si>
  <si>
    <t>CUMULATIVE SCORES</t>
  </si>
  <si>
    <t># FLTS</t>
  </si>
  <si>
    <t>Kroesh, Don</t>
  </si>
  <si>
    <t>Lewis, Curt</t>
  </si>
  <si>
    <t>Youngson, Steve</t>
  </si>
  <si>
    <t>Cumulative scores</t>
  </si>
  <si>
    <t>Gossfeld, Tim</t>
  </si>
  <si>
    <t>Hanford, Ken</t>
  </si>
  <si>
    <t xml:space="preserve">Harrison, John </t>
  </si>
  <si>
    <t>Hayes,Brad</t>
  </si>
  <si>
    <t>Hilary, Denis</t>
  </si>
  <si>
    <t>Quas, Robert</t>
  </si>
  <si>
    <t>Mirza, Adnan</t>
  </si>
  <si>
    <t>Ridenor, Ron</t>
  </si>
  <si>
    <t>Russell, Jeffrey</t>
  </si>
  <si>
    <t>Rydin, Robert</t>
  </si>
  <si>
    <t>Read, Roderick</t>
  </si>
  <si>
    <t>Hcap</t>
  </si>
  <si>
    <t>ASW27B</t>
  </si>
  <si>
    <t>joliet</t>
  </si>
  <si>
    <t>morrisTA</t>
  </si>
  <si>
    <t>sky</t>
  </si>
  <si>
    <t>beloit</t>
  </si>
  <si>
    <t>Kraus, Mike</t>
  </si>
  <si>
    <t>Dziedzic, Jan</t>
  </si>
  <si>
    <t>meadow</t>
  </si>
  <si>
    <t>2009 Northern Illinois Contest</t>
  </si>
  <si>
    <t>skdive</t>
  </si>
  <si>
    <t>hendrickson</t>
  </si>
  <si>
    <t>ogle county</t>
  </si>
  <si>
    <t>Borycky, Marek</t>
  </si>
  <si>
    <t>illlinois valley</t>
  </si>
  <si>
    <t>DG101G</t>
  </si>
  <si>
    <t>southern wi</t>
  </si>
  <si>
    <t>poplar grove</t>
  </si>
  <si>
    <t>lakelawn</t>
  </si>
  <si>
    <t xml:space="preserve">De Rosa, John </t>
  </si>
  <si>
    <t xml:space="preserve">Cochrane John </t>
  </si>
  <si>
    <t>woodlake</t>
  </si>
  <si>
    <t>wade</t>
  </si>
  <si>
    <t>dekalb</t>
  </si>
  <si>
    <t>albertus</t>
  </si>
  <si>
    <t>Shakman,Michael</t>
  </si>
  <si>
    <t>aurora</t>
  </si>
  <si>
    <t>dkalb</t>
  </si>
  <si>
    <t>rochelle</t>
  </si>
  <si>
    <t>ogle co</t>
  </si>
  <si>
    <t>ASG29-18</t>
  </si>
  <si>
    <t>earlville</t>
  </si>
  <si>
    <t>freeport</t>
  </si>
  <si>
    <t>hickley</t>
  </si>
  <si>
    <t>morris</t>
  </si>
  <si>
    <t xml:space="preserve"> cgc</t>
  </si>
  <si>
    <t>LS8-15</t>
  </si>
  <si>
    <t>skysoaring</t>
  </si>
  <si>
    <t>dwight</t>
  </si>
  <si>
    <t>364 feet low at finish = distance points</t>
  </si>
  <si>
    <t>Herb Kilian</t>
  </si>
  <si>
    <t>Assigned task = sky, dekalb(10) poplar (15), 2 hr min</t>
  </si>
  <si>
    <t>poplar</t>
  </si>
  <si>
    <t>actual speed 56.3 in 1:38:43</t>
  </si>
  <si>
    <t>John DeRosa</t>
  </si>
  <si>
    <t>actual speed 41.21 in 1:29:00</t>
  </si>
  <si>
    <t>Jerry Zieba</t>
  </si>
  <si>
    <t>Diana 2</t>
  </si>
  <si>
    <t>MT</t>
  </si>
  <si>
    <t>Greg Palmer</t>
  </si>
  <si>
    <t>DG300</t>
  </si>
  <si>
    <t>Actual speed 39.08 mph in 1:36:41</t>
  </si>
  <si>
    <t>landout, aero lake estates</t>
  </si>
  <si>
    <t>Mark Akerley</t>
  </si>
  <si>
    <t>Discus CS</t>
  </si>
  <si>
    <t>Acutal speed 40.86 mps in 1:37:38</t>
  </si>
  <si>
    <t>Actual speed 40.92 mph in 1:46:54</t>
  </si>
  <si>
    <t>ASW24</t>
  </si>
  <si>
    <t>First turnpoint and return</t>
  </si>
  <si>
    <t xml:space="preserve">Scored as MAT </t>
  </si>
  <si>
    <t>Mike Kraus</t>
  </si>
  <si>
    <t>Landout Dekalb</t>
  </si>
  <si>
    <t>Actual speed 40.40 mph in 1:25:27</t>
  </si>
  <si>
    <t>James Lamb</t>
  </si>
  <si>
    <t>Silent 2</t>
  </si>
  <si>
    <t>PIK20</t>
  </si>
  <si>
    <t>Diamant 17.2</t>
  </si>
  <si>
    <t>Karl Landl</t>
  </si>
  <si>
    <t xml:space="preserve">Pik 20 </t>
  </si>
  <si>
    <t>PW5</t>
  </si>
  <si>
    <t>Robert Norton</t>
  </si>
  <si>
    <t>Joe Nemek</t>
  </si>
  <si>
    <t>Logan Weck (GNII2)</t>
  </si>
  <si>
    <t>Actual speed 38.46 in 1:54:56. There are 3 kinds of silent 2, MF = 1.12, MR = 1.10 and no motor = 1.17. I guessed</t>
  </si>
  <si>
    <t>SGS 134</t>
  </si>
  <si>
    <t>Actual time 1:47;distance estimated by google earth. Handicaps list 15, 16.5, and 18, I used 18</t>
  </si>
  <si>
    <t>Geoff Weck</t>
  </si>
  <si>
    <t>hinckely</t>
  </si>
  <si>
    <t>bresson</t>
  </si>
  <si>
    <t>ill valley</t>
  </si>
  <si>
    <t>riley</t>
  </si>
  <si>
    <t>sweedler</t>
  </si>
  <si>
    <t>LS8-18</t>
  </si>
  <si>
    <t>ramme</t>
  </si>
  <si>
    <t>LS3a</t>
  </si>
  <si>
    <t>Actual speed 50.92 mph in 1:16:09. Just missed 1 mil from DK so can't score as MAT</t>
  </si>
  <si>
    <t>Gary Molidor</t>
  </si>
  <si>
    <t>Robert Norton, MAT</t>
  </si>
  <si>
    <t>Jan Dziedzic</t>
  </si>
  <si>
    <t>DuoDiscus</t>
  </si>
  <si>
    <t>cgcTA</t>
  </si>
  <si>
    <t>Herb Kilian, AT</t>
  </si>
  <si>
    <t>Assigned task A: wade, Rochelle, DeKalb MAT 2.5 hr. Assigned task B: Poplar(10), Aero(5), Dacy(15) 2 hr.</t>
  </si>
  <si>
    <t>ATB</t>
  </si>
  <si>
    <t>MT, Actual 43.92 mph in 1:44</t>
  </si>
  <si>
    <t>MT, Actual 41.09 mph in 1:06</t>
  </si>
  <si>
    <t>MT, Actual 34.31 mph in 1:59</t>
  </si>
  <si>
    <t>MT, Actual 32.42 in 1:55</t>
  </si>
  <si>
    <t>Silent</t>
  </si>
  <si>
    <t>rothrock</t>
  </si>
  <si>
    <t>skydive</t>
  </si>
  <si>
    <t>Dziedzic</t>
  </si>
  <si>
    <t>200 feet low at finish = distance points</t>
  </si>
  <si>
    <t>ATA</t>
  </si>
  <si>
    <t>SGS1-34</t>
  </si>
  <si>
    <t>PIK 20</t>
  </si>
  <si>
    <t>landout DeKalb</t>
  </si>
  <si>
    <t>Doug Tarmichael</t>
  </si>
  <si>
    <t>Diamant</t>
  </si>
  <si>
    <t>Logan Weck</t>
  </si>
  <si>
    <t>Sky soaring memorial day contest</t>
  </si>
  <si>
    <t>Total score for sky soaring memorial day contest</t>
  </si>
  <si>
    <t>Day 1</t>
  </si>
  <si>
    <t>Day 2</t>
  </si>
  <si>
    <t>Total</t>
  </si>
  <si>
    <t>Joe Nemec</t>
  </si>
  <si>
    <t>NOTE: New pilots from the sky soaring contest will be added to season cumulative scores if they turn in additional NISC claims.</t>
  </si>
  <si>
    <t>SGS126</t>
  </si>
  <si>
    <t>rileys</t>
  </si>
  <si>
    <t>bushby</t>
  </si>
  <si>
    <t>Jacek Ziebinski</t>
  </si>
  <si>
    <t>John Cochrane</t>
  </si>
  <si>
    <t>ASW27</t>
  </si>
  <si>
    <t>dekalbTA</t>
  </si>
  <si>
    <t>sandwich</t>
  </si>
  <si>
    <t>Jeff Russell</t>
  </si>
  <si>
    <t>Ventus 2B</t>
  </si>
  <si>
    <t>Bob Macys</t>
  </si>
  <si>
    <t>sky TA</t>
  </si>
  <si>
    <t xml:space="preserve">dekalb </t>
  </si>
  <si>
    <t>sky soaring</t>
  </si>
  <si>
    <t>landout 4 mi from hinckley</t>
  </si>
  <si>
    <t>swedler</t>
  </si>
  <si>
    <t>Mike Shakman</t>
  </si>
  <si>
    <t>ASG29</t>
  </si>
  <si>
    <t>Neil Ridenour</t>
  </si>
  <si>
    <t>DeKalbTA</t>
  </si>
  <si>
    <t>prarielake</t>
  </si>
  <si>
    <t>Ventus2B</t>
  </si>
  <si>
    <t>cushying</t>
  </si>
  <si>
    <t>juneau wi</t>
  </si>
  <si>
    <t>g Kankakee</t>
  </si>
  <si>
    <t>15 mile radius TAT, 2.5 hr min</t>
  </si>
  <si>
    <t>Gerry Molidor</t>
  </si>
  <si>
    <t>clinton ia</t>
  </si>
  <si>
    <t>silver c!</t>
  </si>
  <si>
    <t>Molidor, Gerry</t>
  </si>
  <si>
    <t>John Cochrane,  TAT</t>
  </si>
  <si>
    <t>Discus</t>
  </si>
  <si>
    <t>hedricskon</t>
  </si>
  <si>
    <t>LS3A</t>
  </si>
  <si>
    <t>watertown wi</t>
  </si>
  <si>
    <t>Konrath,Ray</t>
  </si>
  <si>
    <t>Turnpoint penalty, 5.29 from morris, 54 points</t>
  </si>
  <si>
    <t>grandpas</t>
  </si>
  <si>
    <t>turn area</t>
  </si>
  <si>
    <t>landout, morris</t>
  </si>
  <si>
    <t>Bob Spitz</t>
  </si>
  <si>
    <t>ASW28</t>
  </si>
  <si>
    <t>greaterk</t>
  </si>
  <si>
    <t>bult</t>
  </si>
  <si>
    <t>morris tTA</t>
  </si>
  <si>
    <t>TAT 15, 15, 20. 3 hour min</t>
  </si>
  <si>
    <t>MAT gkk meadow 2 hr min</t>
  </si>
  <si>
    <t>Herb Kilian, scored</t>
  </si>
  <si>
    <t>Herb Kilian actual</t>
  </si>
  <si>
    <t>Roderick Read</t>
  </si>
  <si>
    <t>Duo</t>
  </si>
  <si>
    <t>unofficial, TAT 15, 15, 20. ignoring min time</t>
  </si>
  <si>
    <t>hugh</t>
  </si>
  <si>
    <t>Ray Konrath</t>
  </si>
  <si>
    <t xml:space="preserve">joliet </t>
  </si>
  <si>
    <t>Bob Quas</t>
  </si>
  <si>
    <t>Mininimbus</t>
  </si>
  <si>
    <t>gkanakakee</t>
  </si>
  <si>
    <t>morris TA</t>
  </si>
  <si>
    <t>galt</t>
  </si>
  <si>
    <t>dacy</t>
  </si>
  <si>
    <t>skyTA</t>
  </si>
  <si>
    <t>landout woodlake</t>
  </si>
  <si>
    <t>cushinbg</t>
  </si>
  <si>
    <t>Bob Spitz distance</t>
  </si>
  <si>
    <t xml:space="preserve">sky </t>
  </si>
  <si>
    <t xml:space="preserve">cgc </t>
  </si>
  <si>
    <t>riely</t>
  </si>
  <si>
    <t>hendrix</t>
  </si>
  <si>
    <t>hendrixk</t>
  </si>
  <si>
    <t xml:space="preserve">cgcTA </t>
  </si>
  <si>
    <t>busbhy</t>
  </si>
  <si>
    <t xml:space="preserve">15 mile radius TAT, 2.5 hr min. did not make cushing turn area. </t>
  </si>
  <si>
    <t>cgctA</t>
  </si>
  <si>
    <t>busby</t>
  </si>
  <si>
    <t xml:space="preserve">John Cochrane </t>
  </si>
  <si>
    <t>pontiac</t>
  </si>
  <si>
    <t>priarie lake</t>
  </si>
  <si>
    <t>Neal Ridenour</t>
  </si>
  <si>
    <t>kankakee</t>
  </si>
  <si>
    <t>classic</t>
  </si>
  <si>
    <t>rieleys</t>
  </si>
  <si>
    <t xml:space="preserve">sweedler </t>
  </si>
  <si>
    <t>Bob Quas*</t>
  </si>
  <si>
    <t>*Prize for most flagrant blowing of 8 turnpint max rule</t>
  </si>
  <si>
    <t xml:space="preserve">Herb Kilian </t>
  </si>
  <si>
    <t>Bob Spitz-- long</t>
  </si>
  <si>
    <t>Bob Spitz -- short</t>
  </si>
  <si>
    <t>landout morris</t>
  </si>
  <si>
    <t>big foot</t>
  </si>
  <si>
    <t>LS3</t>
  </si>
  <si>
    <t>burlington</t>
  </si>
  <si>
    <t>areo estate</t>
  </si>
  <si>
    <t>Mini</t>
  </si>
  <si>
    <t>hinckley safety finish</t>
  </si>
  <si>
    <t>aerolk</t>
  </si>
  <si>
    <t>granpas</t>
  </si>
  <si>
    <t>hinckleyTA</t>
  </si>
  <si>
    <t>Jeff Russelll</t>
  </si>
  <si>
    <t>landout, earlville</t>
  </si>
  <si>
    <t>areolake</t>
  </si>
  <si>
    <t>hedrickson</t>
  </si>
  <si>
    <t>grandpa</t>
  </si>
  <si>
    <t>cusing</t>
  </si>
  <si>
    <t>landout cushing</t>
  </si>
  <si>
    <t>illinois valley</t>
  </si>
  <si>
    <t>Ken Hanford</t>
  </si>
  <si>
    <t>prarielk</t>
  </si>
  <si>
    <t>ls8-15</t>
  </si>
  <si>
    <t>duo</t>
  </si>
  <si>
    <t>asw28</t>
  </si>
  <si>
    <t>hinkcley</t>
  </si>
  <si>
    <t>landout beloit</t>
  </si>
  <si>
    <t xml:space="preserve">Jacek Ziebinski </t>
  </si>
  <si>
    <t>Pik20B</t>
  </si>
  <si>
    <t>Ziebinski, Jacek</t>
  </si>
  <si>
    <t>prairie</t>
  </si>
  <si>
    <t>ASG28-18</t>
  </si>
  <si>
    <t>landout bushby</t>
  </si>
  <si>
    <t>prairielk</t>
  </si>
  <si>
    <t>was 751 pts, but 394 foot finish, so only distance points. Low finish OK for boomarang, not NISC</t>
  </si>
  <si>
    <t>boomarang flight; 1 hour/30 mile minimum waived</t>
  </si>
  <si>
    <t>Michael Shakman</t>
  </si>
  <si>
    <t>curanda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</si>
</sst>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\-mmm;@"/>
    <numFmt numFmtId="170" formatCode="[$-409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right"/>
    </xf>
    <xf numFmtId="16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33" borderId="0" xfId="0" applyNumberFormat="1" applyFont="1" applyFill="1" applyAlignment="1">
      <alignment horizontal="right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7" fillId="0" borderId="0" xfId="53" applyAlignment="1">
      <alignment/>
    </xf>
    <xf numFmtId="1" fontId="0" fillId="0" borderId="0" xfId="53" applyNumberFormat="1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5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" fontId="0" fillId="34" borderId="0" xfId="0" applyNumberFormat="1" applyFont="1" applyFill="1" applyAlignment="1">
      <alignment/>
    </xf>
    <xf numFmtId="168" fontId="0" fillId="33" borderId="0" xfId="0" applyNumberFormat="1" applyFill="1" applyAlignment="1">
      <alignment horizontal="right"/>
    </xf>
    <xf numFmtId="17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45" fillId="0" borderId="0" xfId="0" applyFont="1" applyAlignment="1">
      <alignment/>
    </xf>
    <xf numFmtId="1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9"/>
  <sheetViews>
    <sheetView tabSelected="1" zoomScale="90" zoomScaleNormal="90" workbookViewId="0" topLeftCell="A190">
      <selection activeCell="Y223" sqref="Y223"/>
    </sheetView>
  </sheetViews>
  <sheetFormatPr defaultColWidth="9.140625" defaultRowHeight="12.75"/>
  <cols>
    <col min="1" max="1" width="14.57421875" style="1" customWidth="1"/>
    <col min="2" max="2" width="19.28125" style="0" customWidth="1"/>
    <col min="3" max="3" width="12.00390625" style="0" customWidth="1"/>
    <col min="4" max="4" width="7.57421875" style="0" customWidth="1"/>
    <col min="5" max="5" width="6.421875" style="0" customWidth="1"/>
    <col min="6" max="6" width="7.28125" style="0" customWidth="1"/>
    <col min="7" max="8" width="7.421875" style="0" customWidth="1"/>
    <col min="9" max="9" width="7.00390625" style="0" customWidth="1"/>
    <col min="10" max="10" width="7.57421875" style="0" customWidth="1"/>
    <col min="11" max="11" width="7.00390625" style="0" customWidth="1"/>
    <col min="12" max="12" width="7.57421875" style="0" customWidth="1"/>
    <col min="13" max="13" width="6.140625" style="0" customWidth="1"/>
    <col min="14" max="14" width="7.28125" style="0" customWidth="1"/>
    <col min="15" max="15" width="7.140625" style="0" customWidth="1"/>
    <col min="16" max="16" width="7.421875" style="0" customWidth="1"/>
    <col min="17" max="17" width="8.28125" style="0" customWidth="1"/>
    <col min="18" max="18" width="10.00390625" style="0" customWidth="1"/>
    <col min="19" max="19" width="9.7109375" style="0" customWidth="1"/>
    <col min="20" max="20" width="9.28125" style="0" customWidth="1"/>
    <col min="21" max="21" width="7.7109375" style="0" customWidth="1"/>
    <col min="22" max="22" width="7.140625" style="0" customWidth="1"/>
    <col min="23" max="23" width="8.28125" style="0" customWidth="1"/>
    <col min="25" max="25" width="7.57421875" style="0" customWidth="1"/>
    <col min="26" max="26" width="7.7109375" style="0" customWidth="1"/>
    <col min="27" max="27" width="8.421875" style="0" customWidth="1"/>
    <col min="29" max="29" width="6.7109375" style="0" customWidth="1"/>
    <col min="30" max="32" width="7.421875" style="0" customWidth="1"/>
    <col min="33" max="33" width="7.140625" style="0" customWidth="1"/>
    <col min="34" max="34" width="7.28125" style="0" customWidth="1"/>
    <col min="35" max="35" width="8.28125" style="0" customWidth="1"/>
  </cols>
  <sheetData>
    <row r="1" spans="2:38" ht="12.75">
      <c r="B1" s="2" t="s">
        <v>74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12.75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38" ht="12.75">
      <c r="B4" s="3"/>
      <c r="C4" s="3"/>
      <c r="D4" s="3"/>
      <c r="E4" s="3"/>
      <c r="F4" s="3"/>
      <c r="G4" s="3" t="s">
        <v>2</v>
      </c>
      <c r="H4" s="3"/>
      <c r="I4" s="3" t="s">
        <v>3</v>
      </c>
      <c r="J4" s="3"/>
      <c r="K4" s="4" t="s">
        <v>4</v>
      </c>
      <c r="L4" s="3" t="s">
        <v>2</v>
      </c>
      <c r="M4" s="3" t="s">
        <v>5</v>
      </c>
      <c r="N4" s="3" t="s">
        <v>6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2:38" ht="12.75">
      <c r="B5" s="3" t="s">
        <v>1</v>
      </c>
      <c r="C5" s="3" t="s">
        <v>7</v>
      </c>
      <c r="D5" s="27" t="s">
        <v>65</v>
      </c>
      <c r="E5" s="3" t="s">
        <v>9</v>
      </c>
      <c r="F5" s="3" t="s">
        <v>10</v>
      </c>
      <c r="G5" s="3" t="s">
        <v>10</v>
      </c>
      <c r="H5" s="3" t="s">
        <v>11</v>
      </c>
      <c r="I5" s="3" t="s">
        <v>12</v>
      </c>
      <c r="J5" s="3" t="s">
        <v>13</v>
      </c>
      <c r="K5" s="4" t="s">
        <v>14</v>
      </c>
      <c r="L5" s="3" t="s">
        <v>14</v>
      </c>
      <c r="M5" s="3" t="s">
        <v>15</v>
      </c>
      <c r="N5" s="3" t="s">
        <v>14</v>
      </c>
      <c r="O5" s="6" t="s">
        <v>16</v>
      </c>
      <c r="P5" s="38" t="s">
        <v>17</v>
      </c>
      <c r="Q5" s="38" t="s">
        <v>18</v>
      </c>
      <c r="R5" s="38" t="s">
        <v>19</v>
      </c>
      <c r="S5" s="38" t="s">
        <v>20</v>
      </c>
      <c r="T5" s="38" t="s">
        <v>21</v>
      </c>
      <c r="U5" s="38" t="s">
        <v>22</v>
      </c>
      <c r="V5" s="38" t="s">
        <v>23</v>
      </c>
      <c r="W5" s="38" t="s">
        <v>24</v>
      </c>
      <c r="X5" s="38" t="s">
        <v>25</v>
      </c>
      <c r="Y5" s="38" t="s">
        <v>26</v>
      </c>
      <c r="Z5" s="38" t="s">
        <v>27</v>
      </c>
      <c r="AA5" s="39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2:38" ht="12.75">
      <c r="B6" s="3"/>
      <c r="C6" s="5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6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>
      <c r="A7" s="7">
        <v>39935</v>
      </c>
      <c r="B7" s="27" t="s">
        <v>31</v>
      </c>
      <c r="C7" s="27" t="s">
        <v>66</v>
      </c>
      <c r="D7" s="3">
        <v>0.88</v>
      </c>
      <c r="E7" s="3">
        <v>0</v>
      </c>
      <c r="F7" s="3">
        <v>213.93</v>
      </c>
      <c r="G7" s="8">
        <f>+(D7*(1-0.04*E7))*F7</f>
        <v>188.2584</v>
      </c>
      <c r="H7" s="3">
        <v>3</v>
      </c>
      <c r="I7" s="3">
        <v>6</v>
      </c>
      <c r="J7" s="3">
        <v>4</v>
      </c>
      <c r="K7" s="9">
        <v>68.98</v>
      </c>
      <c r="L7" s="10">
        <f>+K7*D7</f>
        <v>60.702400000000004</v>
      </c>
      <c r="M7" s="11">
        <v>0</v>
      </c>
      <c r="N7" s="8">
        <f>+K7*D7*(1-0.04*E7)*(1+0.05*MAX(H7+I7/60+J7/3600-1,0))*(1+0.03*$M7)*(H7+I7/60+J7/3600)/(H7+I7/60+J7/3600+1/3)</f>
        <v>60.56905612305258</v>
      </c>
      <c r="O7" s="12">
        <f>1000*(N7/MAX(N$7:N$11))</f>
        <v>1000</v>
      </c>
      <c r="P7" s="37" t="s">
        <v>29</v>
      </c>
      <c r="Q7" s="37" t="s">
        <v>75</v>
      </c>
      <c r="R7" s="37" t="s">
        <v>35</v>
      </c>
      <c r="S7" s="37" t="s">
        <v>69</v>
      </c>
      <c r="T7" s="37" t="s">
        <v>76</v>
      </c>
      <c r="U7" s="37" t="s">
        <v>77</v>
      </c>
      <c r="V7" s="37" t="s">
        <v>67</v>
      </c>
      <c r="W7" s="37" t="s">
        <v>68</v>
      </c>
      <c r="X7" s="38"/>
      <c r="Y7" s="38" t="s">
        <v>29</v>
      </c>
      <c r="Z7" s="30"/>
      <c r="AB7" s="5"/>
      <c r="AC7" s="5"/>
      <c r="AD7" s="1"/>
      <c r="AE7" s="1"/>
      <c r="AF7" s="1"/>
      <c r="AG7" s="1"/>
      <c r="AH7" s="1"/>
      <c r="AI7" s="1"/>
      <c r="AJ7" s="1"/>
      <c r="AK7" s="1"/>
      <c r="AL7" s="1"/>
    </row>
    <row r="8" spans="1:38" ht="12.75">
      <c r="A8" s="7"/>
      <c r="B8" s="31" t="s">
        <v>30</v>
      </c>
      <c r="C8" s="31" t="s">
        <v>101</v>
      </c>
      <c r="D8" s="3">
        <v>0.925</v>
      </c>
      <c r="E8" s="3">
        <v>0</v>
      </c>
      <c r="F8" s="8">
        <v>182</v>
      </c>
      <c r="G8" s="8">
        <f>+(D8*(1-0.04*E8))*F8</f>
        <v>168.35</v>
      </c>
      <c r="H8" s="3">
        <v>3</v>
      </c>
      <c r="I8" s="3">
        <v>10</v>
      </c>
      <c r="J8" s="3">
        <v>48</v>
      </c>
      <c r="K8" s="9">
        <v>57.23</v>
      </c>
      <c r="L8" s="10">
        <f>+K8*D8</f>
        <v>52.93775</v>
      </c>
      <c r="M8" s="11">
        <v>0</v>
      </c>
      <c r="N8" s="8">
        <f>+K8*D8*(1-0.04*E8)*(1+0.05*MAX(H8+I8/60+J8/3600-1,0))*(1+0.03*$M8)*(H8+I8/60+J8/3600)/(H8+I8/60+J8/3600+1/3)</f>
        <v>53.13794911907021</v>
      </c>
      <c r="O8" s="12">
        <f>1000*(N8/MAX(N$7:N$11))</f>
        <v>877.3118242277826</v>
      </c>
      <c r="P8" s="37" t="s">
        <v>29</v>
      </c>
      <c r="Q8" s="37" t="s">
        <v>75</v>
      </c>
      <c r="R8" s="37" t="s">
        <v>88</v>
      </c>
      <c r="S8" s="37" t="s">
        <v>102</v>
      </c>
      <c r="T8" s="37" t="s">
        <v>35</v>
      </c>
      <c r="U8" s="37" t="s">
        <v>103</v>
      </c>
      <c r="V8" s="37"/>
      <c r="W8" s="37"/>
      <c r="X8" s="38"/>
      <c r="Y8" s="37" t="s">
        <v>29</v>
      </c>
      <c r="Z8" s="30"/>
      <c r="AB8" s="5"/>
      <c r="AC8" s="5"/>
      <c r="AD8" s="1"/>
      <c r="AE8" s="1"/>
      <c r="AF8" s="1"/>
      <c r="AG8" s="1"/>
      <c r="AH8" s="1"/>
      <c r="AI8" s="1"/>
      <c r="AJ8" s="1"/>
      <c r="AK8" s="1"/>
      <c r="AL8" s="1"/>
    </row>
    <row r="9" spans="1:38" ht="12.75">
      <c r="A9" s="7"/>
      <c r="B9" s="27" t="s">
        <v>78</v>
      </c>
      <c r="C9" s="27" t="s">
        <v>42</v>
      </c>
      <c r="D9" s="3">
        <v>0.94</v>
      </c>
      <c r="E9" s="3">
        <v>0</v>
      </c>
      <c r="F9" s="3">
        <v>180.66</v>
      </c>
      <c r="G9" s="8">
        <f>+(D9*(1-0.04*E9))*F9</f>
        <v>169.82039999999998</v>
      </c>
      <c r="H9" s="3">
        <v>3</v>
      </c>
      <c r="I9" s="3">
        <v>42</v>
      </c>
      <c r="J9" s="3">
        <v>4</v>
      </c>
      <c r="K9" s="9">
        <v>48.81</v>
      </c>
      <c r="L9" s="10">
        <f>+K9*D9</f>
        <v>45.8814</v>
      </c>
      <c r="M9" s="11">
        <v>0</v>
      </c>
      <c r="N9" s="8">
        <f>+K9*D9*(1-0.04*E9)*(1+0.05*MAX(H9+I9/60+J9/3600-1,0))*(1+0.03*$M9)*(H9+I9/60+J9/3600)/(H9+I9/60+J9/3600+1/3)</f>
        <v>47.77516148911227</v>
      </c>
      <c r="O9" s="12">
        <f>1000*(N9/MAX(N$7:N$11))</f>
        <v>788.771768079923</v>
      </c>
      <c r="P9" s="37" t="s">
        <v>29</v>
      </c>
      <c r="Q9" s="37" t="s">
        <v>79</v>
      </c>
      <c r="R9" s="37" t="s">
        <v>73</v>
      </c>
      <c r="S9" s="37" t="s">
        <v>36</v>
      </c>
      <c r="T9" s="37"/>
      <c r="U9" s="37"/>
      <c r="V9" s="37"/>
      <c r="W9" s="37"/>
      <c r="X9" s="38"/>
      <c r="Y9" s="37" t="s">
        <v>29</v>
      </c>
      <c r="Z9" s="30"/>
      <c r="AB9" s="5"/>
      <c r="AC9" s="5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7"/>
      <c r="B10" s="27" t="s">
        <v>84</v>
      </c>
      <c r="C10" s="27" t="s">
        <v>80</v>
      </c>
      <c r="D10" s="3">
        <v>0.99</v>
      </c>
      <c r="E10" s="3">
        <v>0</v>
      </c>
      <c r="F10" s="8">
        <v>170.16</v>
      </c>
      <c r="G10" s="8">
        <f>+(D10*(1-0.04*E10))*F10</f>
        <v>168.45839999999998</v>
      </c>
      <c r="H10" s="3">
        <v>3</v>
      </c>
      <c r="I10" s="3">
        <v>41</v>
      </c>
      <c r="J10" s="3">
        <v>1</v>
      </c>
      <c r="K10" s="9">
        <v>46.19</v>
      </c>
      <c r="L10" s="10">
        <f>+K10*D10</f>
        <v>45.7281</v>
      </c>
      <c r="M10" s="11">
        <v>0</v>
      </c>
      <c r="N10" s="8">
        <f>+K10*D10*(1-0.04*E10)*(1+0.05*MAX(H10+I10/60+J10/3600-1,0))*(1+0.03*$M10)*(H10+I10/60+J10/3600)/(H10+I10/60+J10/3600+1/3)</f>
        <v>47.56015958914407</v>
      </c>
      <c r="O10" s="12">
        <f>1000*(N10/MAX(N$7:N$11))</f>
        <v>785.2220693768195</v>
      </c>
      <c r="P10" s="37" t="s">
        <v>69</v>
      </c>
      <c r="Q10" s="37" t="s">
        <v>35</v>
      </c>
      <c r="R10" s="37" t="s">
        <v>70</v>
      </c>
      <c r="S10" s="37" t="s">
        <v>81</v>
      </c>
      <c r="T10" s="37" t="s">
        <v>82</v>
      </c>
      <c r="U10" s="37" t="s">
        <v>83</v>
      </c>
      <c r="V10" s="37"/>
      <c r="W10" s="37"/>
      <c r="X10" s="38"/>
      <c r="Y10" s="37" t="s">
        <v>69</v>
      </c>
      <c r="Z10" s="30"/>
      <c r="AB10" s="5"/>
      <c r="AC10" s="5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7"/>
      <c r="B11" s="27" t="s">
        <v>72</v>
      </c>
      <c r="C11" s="27" t="s">
        <v>122</v>
      </c>
      <c r="D11" s="3">
        <v>0.94</v>
      </c>
      <c r="E11" s="3">
        <v>0</v>
      </c>
      <c r="F11" s="8">
        <v>102.7</v>
      </c>
      <c r="G11" s="8">
        <f>+(D11*(1-0.04*E11))*F11</f>
        <v>96.538</v>
      </c>
      <c r="H11" s="3">
        <v>2</v>
      </c>
      <c r="I11" s="3">
        <v>27</v>
      </c>
      <c r="J11" s="3">
        <v>12</v>
      </c>
      <c r="K11" s="9">
        <v>51.94</v>
      </c>
      <c r="L11" s="10">
        <f>+K11*D11</f>
        <v>48.82359999999999</v>
      </c>
      <c r="M11" s="11">
        <v>0</v>
      </c>
      <c r="N11" s="8">
        <f>+K11*D11*(1-0.04*E11)*(1+0.05*MAX(H11+I11/60+J11/3600-1,0))*(1+0.03*$M11)*(H11+I11/60+J11/3600)/(H11+I11/60+J11/3600+1/3)</f>
        <v>46.10692096204146</v>
      </c>
      <c r="O11" s="12">
        <f>1000*(N11/MAX(N$7:N$11))</f>
        <v>761.2289824753133</v>
      </c>
      <c r="P11" s="37" t="s">
        <v>29</v>
      </c>
      <c r="Q11" s="37" t="s">
        <v>99</v>
      </c>
      <c r="R11" s="37" t="s">
        <v>164</v>
      </c>
      <c r="S11" s="37" t="s">
        <v>165</v>
      </c>
      <c r="T11" s="37" t="s">
        <v>103</v>
      </c>
      <c r="U11" s="37"/>
      <c r="V11" s="37"/>
      <c r="W11" s="37"/>
      <c r="X11" s="38"/>
      <c r="Y11" s="37" t="s">
        <v>29</v>
      </c>
      <c r="Z11" s="30"/>
      <c r="AB11" s="5"/>
      <c r="AC11" s="5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7"/>
      <c r="B12" s="31"/>
      <c r="C12" s="27"/>
      <c r="D12" s="3"/>
      <c r="E12" s="3"/>
      <c r="F12" s="3"/>
      <c r="G12" s="8"/>
      <c r="H12" s="3"/>
      <c r="I12" s="3"/>
      <c r="J12" s="3"/>
      <c r="K12" s="9"/>
      <c r="L12" s="10"/>
      <c r="M12" s="11"/>
      <c r="N12" s="8"/>
      <c r="O12" s="12"/>
      <c r="P12" s="39"/>
      <c r="Q12" s="39"/>
      <c r="R12" s="39"/>
      <c r="S12" s="39"/>
      <c r="T12" s="37"/>
      <c r="U12" s="37"/>
      <c r="V12" s="37"/>
      <c r="W12" s="37"/>
      <c r="X12" s="37"/>
      <c r="Y12" s="39"/>
      <c r="Z12" s="30"/>
      <c r="AB12" s="3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36">
        <v>39936</v>
      </c>
      <c r="B13" s="31" t="s">
        <v>85</v>
      </c>
      <c r="C13" s="27" t="s">
        <v>66</v>
      </c>
      <c r="D13" s="3">
        <v>0.88</v>
      </c>
      <c r="E13" s="3">
        <v>0</v>
      </c>
      <c r="F13" s="3">
        <v>207.51</v>
      </c>
      <c r="G13" s="8">
        <f>+(D13*(1-0.04*E13))*F13</f>
        <v>182.6088</v>
      </c>
      <c r="H13" s="3">
        <v>3</v>
      </c>
      <c r="I13" s="3">
        <v>0</v>
      </c>
      <c r="J13" s="3">
        <v>52</v>
      </c>
      <c r="K13" s="9">
        <v>68.84</v>
      </c>
      <c r="L13" s="10">
        <f>+K13*D13</f>
        <v>60.5792</v>
      </c>
      <c r="M13" s="11">
        <v>0</v>
      </c>
      <c r="N13" s="8">
        <f>+K13*D13*(1-0.04*E13)*(1+0.05*MAX(H13+I13/60+J13/3600-1,0))*(1+0.03*$M13)*(H13+I13/60+J13/3600)/(H13+I13/60+J13/3600+1/3)</f>
        <v>60.041554852763944</v>
      </c>
      <c r="O13" s="12">
        <f>1000*(N13/MAX(N$13:N$14))</f>
        <v>1000</v>
      </c>
      <c r="P13" s="39" t="s">
        <v>29</v>
      </c>
      <c r="Q13" s="39" t="s">
        <v>86</v>
      </c>
      <c r="R13" s="39" t="s">
        <v>87</v>
      </c>
      <c r="S13" s="39" t="s">
        <v>88</v>
      </c>
      <c r="T13" s="37" t="s">
        <v>89</v>
      </c>
      <c r="U13" s="37" t="s">
        <v>82</v>
      </c>
      <c r="V13" s="37" t="s">
        <v>88</v>
      </c>
      <c r="W13" s="37" t="s">
        <v>67</v>
      </c>
      <c r="X13" s="37"/>
      <c r="Y13" s="39" t="s">
        <v>29</v>
      </c>
      <c r="Z13" s="30"/>
      <c r="AB13" s="3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7"/>
      <c r="B14" s="31" t="s">
        <v>90</v>
      </c>
      <c r="C14" s="31" t="s">
        <v>95</v>
      </c>
      <c r="D14" s="3">
        <v>0.855</v>
      </c>
      <c r="E14" s="3">
        <v>0</v>
      </c>
      <c r="F14" s="3">
        <v>165.19</v>
      </c>
      <c r="G14" s="8">
        <f>+(D14*(1-0.04*E14))*F14</f>
        <v>141.23745</v>
      </c>
      <c r="H14" s="3">
        <v>2</v>
      </c>
      <c r="I14" s="3">
        <v>45</v>
      </c>
      <c r="J14" s="3">
        <v>57</v>
      </c>
      <c r="K14" s="9">
        <v>59.72</v>
      </c>
      <c r="L14" s="10">
        <f>+K14*D14</f>
        <v>51.0606</v>
      </c>
      <c r="M14" s="11">
        <v>0</v>
      </c>
      <c r="N14" s="8">
        <f>+K14*D14*(1-0.04*E14)*(1+0.05*MAX(H14+I14/60+J14/3600-1,0))*(1+0.03*$M14)*(H14+I14/60+J14/3600)/(H14+I14/60+J14/3600+1/3)</f>
        <v>49.59207629780182</v>
      </c>
      <c r="O14" s="12">
        <f>1000*(N14/MAX(N$13:N$14))</f>
        <v>825.9625590878398</v>
      </c>
      <c r="P14" s="39" t="s">
        <v>29</v>
      </c>
      <c r="Q14" s="39" t="s">
        <v>91</v>
      </c>
      <c r="R14" s="39" t="s">
        <v>92</v>
      </c>
      <c r="S14" s="39" t="s">
        <v>93</v>
      </c>
      <c r="T14" s="37" t="s">
        <v>94</v>
      </c>
      <c r="U14" s="37" t="s">
        <v>88</v>
      </c>
      <c r="V14" s="37" t="s">
        <v>36</v>
      </c>
      <c r="W14" s="37"/>
      <c r="X14" s="37"/>
      <c r="Y14" s="39" t="s">
        <v>29</v>
      </c>
      <c r="Z14" s="30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7"/>
      <c r="B15" s="31" t="s">
        <v>30</v>
      </c>
      <c r="C15" s="31" t="s">
        <v>101</v>
      </c>
      <c r="D15" s="3">
        <v>0.925</v>
      </c>
      <c r="E15" s="3">
        <v>0</v>
      </c>
      <c r="F15" s="3">
        <v>223.64</v>
      </c>
      <c r="G15" s="8">
        <f>+(D15*(1-0.04*E15))*F15</f>
        <v>206.867</v>
      </c>
      <c r="H15" s="3">
        <v>3</v>
      </c>
      <c r="I15" s="3">
        <v>25</v>
      </c>
      <c r="J15" s="3">
        <v>19</v>
      </c>
      <c r="K15" s="9">
        <v>65.35</v>
      </c>
      <c r="L15" s="10">
        <f>+K15*D15</f>
        <v>60.44875</v>
      </c>
      <c r="M15" s="11">
        <v>0</v>
      </c>
      <c r="N15" s="8">
        <f>+K15*D15*(1-0.04*E15)*(1+0.05*MAX(H15+I15/60+J15/3600-1,0))*(1+0.03*$M15)*(H15+I15/60+J15/3600)/(H15+I15/60+J15/3600+1/3)</f>
        <v>61.753487376561324</v>
      </c>
      <c r="O15" s="40">
        <f>MIN(600*(G15/MAX(G$12:G$15)),1000)</f>
        <v>600</v>
      </c>
      <c r="P15" s="39" t="s">
        <v>29</v>
      </c>
      <c r="Q15" s="39" t="s">
        <v>96</v>
      </c>
      <c r="R15" s="39" t="s">
        <v>93</v>
      </c>
      <c r="S15" s="39" t="s">
        <v>97</v>
      </c>
      <c r="T15" s="37" t="s">
        <v>69</v>
      </c>
      <c r="U15" s="38" t="s">
        <v>88</v>
      </c>
      <c r="V15" s="37" t="s">
        <v>98</v>
      </c>
      <c r="W15" s="37" t="s">
        <v>86</v>
      </c>
      <c r="X15" s="37" t="s">
        <v>99</v>
      </c>
      <c r="Y15" s="39" t="s">
        <v>100</v>
      </c>
      <c r="Z15" s="30" t="s">
        <v>104</v>
      </c>
      <c r="AB15" s="3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7"/>
      <c r="B16" s="31" t="s">
        <v>166</v>
      </c>
      <c r="C16" s="31" t="s">
        <v>122</v>
      </c>
      <c r="D16" s="3">
        <v>0.94</v>
      </c>
      <c r="E16" s="3">
        <v>0</v>
      </c>
      <c r="F16" s="3">
        <v>110.3</v>
      </c>
      <c r="G16" s="8">
        <f>+(D16*(1-0.04*E16))*F16</f>
        <v>103.68199999999999</v>
      </c>
      <c r="H16" s="3">
        <v>2</v>
      </c>
      <c r="I16" s="3">
        <v>30</v>
      </c>
      <c r="J16" s="3">
        <v>48</v>
      </c>
      <c r="K16" s="9">
        <v>65.35</v>
      </c>
      <c r="L16" s="10">
        <f>+K16*D16</f>
        <v>61.42899999999999</v>
      </c>
      <c r="M16" s="11">
        <v>0</v>
      </c>
      <c r="N16" s="8">
        <f>+K16*D16*(1-0.04*E16)*(1+0.05*MAX(H16+I16/60+J16/3600-1,0))*(1+0.03*$M16)*(H16+I16/60+J16/3600)/(H16+I16/60+J16/3600+1/3)</f>
        <v>58.33975908743169</v>
      </c>
      <c r="O16" s="40">
        <f>MIN(600*(G16/MAX(G$12:G$15)),1000)</f>
        <v>300.720752947546</v>
      </c>
      <c r="P16" s="39" t="s">
        <v>29</v>
      </c>
      <c r="Q16" s="39" t="s">
        <v>36</v>
      </c>
      <c r="R16" s="39" t="s">
        <v>86</v>
      </c>
      <c r="S16" s="39" t="s">
        <v>35</v>
      </c>
      <c r="T16" s="37" t="s">
        <v>93</v>
      </c>
      <c r="U16" s="38"/>
      <c r="V16" s="37"/>
      <c r="W16" s="37"/>
      <c r="X16" s="37"/>
      <c r="Y16" s="39" t="s">
        <v>29</v>
      </c>
      <c r="Z16" s="30" t="s">
        <v>167</v>
      </c>
      <c r="AB16" s="3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7"/>
      <c r="B17" s="31" t="s">
        <v>208</v>
      </c>
      <c r="C17" s="31" t="s">
        <v>149</v>
      </c>
      <c r="D17" s="3">
        <v>0.94</v>
      </c>
      <c r="E17" s="3">
        <v>0</v>
      </c>
      <c r="F17" s="3">
        <v>98.3</v>
      </c>
      <c r="G17" s="8">
        <f>+(D17*(1-0.04*E17))*F17</f>
        <v>92.40199999999999</v>
      </c>
      <c r="H17" s="3"/>
      <c r="I17" s="3"/>
      <c r="J17" s="3"/>
      <c r="K17" s="9"/>
      <c r="L17" s="10"/>
      <c r="M17" s="11"/>
      <c r="N17" s="8"/>
      <c r="O17" s="40">
        <f>MIN(600*(G17/MAX(G$13:G$16)),1000)</f>
        <v>268.0040799160813</v>
      </c>
      <c r="P17" s="39" t="s">
        <v>69</v>
      </c>
      <c r="Q17" s="39"/>
      <c r="R17" s="39"/>
      <c r="S17" s="39"/>
      <c r="T17" s="37"/>
      <c r="U17" s="38"/>
      <c r="V17" s="37"/>
      <c r="W17" s="37"/>
      <c r="X17" s="37"/>
      <c r="Y17" s="39" t="s">
        <v>209</v>
      </c>
      <c r="Z17" s="32" t="s">
        <v>210</v>
      </c>
      <c r="AB17" s="3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7"/>
      <c r="B18" s="31"/>
      <c r="C18" s="31"/>
      <c r="D18" s="3"/>
      <c r="E18" s="3"/>
      <c r="F18" s="3"/>
      <c r="G18" s="8"/>
      <c r="H18" s="3"/>
      <c r="I18" s="3"/>
      <c r="J18" s="3"/>
      <c r="K18" s="9"/>
      <c r="L18" s="10"/>
      <c r="M18" s="11"/>
      <c r="N18" s="8"/>
      <c r="O18" s="40"/>
      <c r="P18" s="39"/>
      <c r="Q18" s="39"/>
      <c r="R18" s="39"/>
      <c r="S18" s="39"/>
      <c r="T18" s="37"/>
      <c r="U18" s="38"/>
      <c r="V18" s="37"/>
      <c r="W18" s="37"/>
      <c r="X18" s="37"/>
      <c r="Y18" s="39"/>
      <c r="Z18" s="30"/>
      <c r="AB18" s="3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7">
        <v>39950</v>
      </c>
      <c r="B19" s="31" t="s">
        <v>30</v>
      </c>
      <c r="C19" s="31" t="s">
        <v>147</v>
      </c>
      <c r="D19" s="3">
        <v>0.925</v>
      </c>
      <c r="E19" s="3">
        <v>0</v>
      </c>
      <c r="F19" s="3">
        <v>183.55</v>
      </c>
      <c r="G19" s="8">
        <f aca="true" t="shared" si="0" ref="G19:G24">+(D19*(1-0.04*E19))*F19</f>
        <v>169.78375000000003</v>
      </c>
      <c r="H19" s="3">
        <v>3</v>
      </c>
      <c r="I19" s="3">
        <v>20</v>
      </c>
      <c r="J19" s="3">
        <v>24</v>
      </c>
      <c r="K19" s="9">
        <v>54.95</v>
      </c>
      <c r="L19" s="10">
        <f aca="true" t="shared" si="1" ref="L19:L24">+K19*D19</f>
        <v>50.82875000000001</v>
      </c>
      <c r="M19" s="11">
        <v>0</v>
      </c>
      <c r="N19" s="8">
        <f aca="true" t="shared" si="2" ref="N19:N24">+K19*D19*(1-0.04*E19)*(1+0.05*MAX(H19+I19/60+J19/3600-1,0))*(1+0.03*$M19)*(H19+I19/60+J19/3600)/(H19+I19/60+J19/3600+1/3)</f>
        <v>51.623652611161525</v>
      </c>
      <c r="O19" s="12">
        <f aca="true" t="shared" si="3" ref="O19:O24">1000*(N19/MAX(N$19:N$23))</f>
        <v>1000</v>
      </c>
      <c r="P19" s="39" t="s">
        <v>29</v>
      </c>
      <c r="Q19" s="39" t="s">
        <v>148</v>
      </c>
      <c r="R19" s="39" t="s">
        <v>107</v>
      </c>
      <c r="S19" s="39" t="s">
        <v>87</v>
      </c>
      <c r="T19" s="39" t="s">
        <v>146</v>
      </c>
      <c r="U19" s="39" t="s">
        <v>68</v>
      </c>
      <c r="V19" s="37"/>
      <c r="W19" s="37"/>
      <c r="X19" s="37"/>
      <c r="Y19" s="39" t="s">
        <v>29</v>
      </c>
      <c r="Z19" s="30"/>
      <c r="AB19" s="3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7"/>
      <c r="B20" s="31" t="s">
        <v>44</v>
      </c>
      <c r="C20" s="31" t="s">
        <v>119</v>
      </c>
      <c r="D20" s="3">
        <v>0.939</v>
      </c>
      <c r="E20" s="3">
        <v>0</v>
      </c>
      <c r="F20" s="3">
        <v>117.23</v>
      </c>
      <c r="G20" s="8">
        <f t="shared" si="0"/>
        <v>110.07897</v>
      </c>
      <c r="H20" s="3">
        <v>2</v>
      </c>
      <c r="I20" s="3">
        <v>45</v>
      </c>
      <c r="J20" s="3">
        <v>11</v>
      </c>
      <c r="K20" s="9">
        <v>48.56</v>
      </c>
      <c r="L20" s="10">
        <f t="shared" si="1"/>
        <v>45.59784</v>
      </c>
      <c r="M20" s="11">
        <v>0</v>
      </c>
      <c r="N20" s="8">
        <f t="shared" si="2"/>
        <v>44.238345101584315</v>
      </c>
      <c r="O20" s="12">
        <f t="shared" si="3"/>
        <v>856.9394621259241</v>
      </c>
      <c r="P20" s="39" t="s">
        <v>142</v>
      </c>
      <c r="Q20" s="39" t="s">
        <v>69</v>
      </c>
      <c r="R20" s="39" t="s">
        <v>87</v>
      </c>
      <c r="S20" s="39" t="s">
        <v>36</v>
      </c>
      <c r="T20" s="39"/>
      <c r="U20" s="39"/>
      <c r="V20" s="37"/>
      <c r="W20" s="37"/>
      <c r="X20" s="37"/>
      <c r="Y20" s="39" t="s">
        <v>35</v>
      </c>
      <c r="Z20" s="30"/>
      <c r="AB20" s="3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>
      <c r="A21" s="7"/>
      <c r="B21" s="31" t="s">
        <v>59</v>
      </c>
      <c r="C21" s="31" t="s">
        <v>182</v>
      </c>
      <c r="D21" s="3">
        <v>1.6</v>
      </c>
      <c r="E21" s="3">
        <v>0</v>
      </c>
      <c r="F21" s="3">
        <v>77.28</v>
      </c>
      <c r="G21" s="8">
        <f t="shared" si="0"/>
        <v>123.64800000000001</v>
      </c>
      <c r="H21" s="3">
        <v>2</v>
      </c>
      <c r="I21" s="3">
        <v>47</v>
      </c>
      <c r="J21" s="3">
        <v>32</v>
      </c>
      <c r="K21" s="9">
        <v>27.68</v>
      </c>
      <c r="L21" s="10">
        <f t="shared" si="1"/>
        <v>44.288000000000004</v>
      </c>
      <c r="M21" s="11">
        <v>0</v>
      </c>
      <c r="N21" s="8">
        <f t="shared" si="2"/>
        <v>43.11023081470948</v>
      </c>
      <c r="O21" s="12">
        <f t="shared" si="3"/>
        <v>835.0867990574662</v>
      </c>
      <c r="P21" s="39" t="s">
        <v>29</v>
      </c>
      <c r="Q21" s="39" t="s">
        <v>67</v>
      </c>
      <c r="R21" s="39" t="s">
        <v>146</v>
      </c>
      <c r="S21" s="39" t="s">
        <v>99</v>
      </c>
      <c r="T21" s="39" t="s">
        <v>29</v>
      </c>
      <c r="U21" s="37" t="s">
        <v>67</v>
      </c>
      <c r="V21" s="37" t="s">
        <v>183</v>
      </c>
      <c r="W21" s="37" t="s">
        <v>184</v>
      </c>
      <c r="X21" s="37" t="s">
        <v>99</v>
      </c>
      <c r="Y21" s="39" t="s">
        <v>29</v>
      </c>
      <c r="Z21" s="30"/>
      <c r="AB21" s="3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7"/>
      <c r="B22" s="31" t="s">
        <v>72</v>
      </c>
      <c r="C22" s="31" t="s">
        <v>122</v>
      </c>
      <c r="D22" s="3">
        <v>0.94</v>
      </c>
      <c r="E22" s="3">
        <v>0</v>
      </c>
      <c r="F22" s="3">
        <v>112.97</v>
      </c>
      <c r="G22" s="8">
        <f t="shared" si="0"/>
        <v>106.19179999999999</v>
      </c>
      <c r="H22" s="3">
        <v>2</v>
      </c>
      <c r="I22" s="3">
        <v>15</v>
      </c>
      <c r="J22" s="3">
        <v>57</v>
      </c>
      <c r="K22" s="9">
        <v>48.58</v>
      </c>
      <c r="L22" s="10">
        <f t="shared" si="1"/>
        <v>45.6652</v>
      </c>
      <c r="M22" s="11">
        <v>0</v>
      </c>
      <c r="N22" s="8">
        <f t="shared" si="2"/>
        <v>42.3283760726889</v>
      </c>
      <c r="O22" s="12">
        <f t="shared" si="3"/>
        <v>819.9415177285828</v>
      </c>
      <c r="P22" s="39" t="s">
        <v>29</v>
      </c>
      <c r="Q22" s="39" t="s">
        <v>145</v>
      </c>
      <c r="R22" s="39" t="s">
        <v>67</v>
      </c>
      <c r="S22" s="39" t="s">
        <v>99</v>
      </c>
      <c r="T22" s="39" t="s">
        <v>36</v>
      </c>
      <c r="U22" s="39" t="s">
        <v>35</v>
      </c>
      <c r="V22" s="39" t="s">
        <v>146</v>
      </c>
      <c r="W22" s="37"/>
      <c r="X22" s="37"/>
      <c r="Y22" s="39" t="s">
        <v>29</v>
      </c>
      <c r="Z22" s="30"/>
      <c r="AB22" s="3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7"/>
      <c r="B23" s="31" t="s">
        <v>71</v>
      </c>
      <c r="C23" s="31" t="s">
        <v>115</v>
      </c>
      <c r="D23" s="3">
        <v>0.95</v>
      </c>
      <c r="E23" s="3">
        <v>0</v>
      </c>
      <c r="F23" s="3">
        <v>115.18</v>
      </c>
      <c r="G23" s="8">
        <f t="shared" si="0"/>
        <v>109.421</v>
      </c>
      <c r="H23" s="3">
        <v>2</v>
      </c>
      <c r="I23" s="3">
        <v>38</v>
      </c>
      <c r="J23" s="3">
        <v>29</v>
      </c>
      <c r="K23" s="9">
        <v>43.61</v>
      </c>
      <c r="L23" s="10">
        <f t="shared" si="1"/>
        <v>41.4295</v>
      </c>
      <c r="M23" s="11">
        <v>0</v>
      </c>
      <c r="N23" s="8">
        <f t="shared" si="2"/>
        <v>39.80620308397077</v>
      </c>
      <c r="O23" s="12">
        <f t="shared" si="3"/>
        <v>771.0845914720162</v>
      </c>
      <c r="P23" s="39" t="s">
        <v>142</v>
      </c>
      <c r="Q23" s="39" t="s">
        <v>143</v>
      </c>
      <c r="R23" s="39" t="s">
        <v>144</v>
      </c>
      <c r="S23" s="39" t="s">
        <v>36</v>
      </c>
      <c r="T23" s="39" t="s">
        <v>99</v>
      </c>
      <c r="U23" s="38"/>
      <c r="V23" s="37"/>
      <c r="W23" s="37"/>
      <c r="X23" s="37"/>
      <c r="Y23" s="39" t="s">
        <v>35</v>
      </c>
      <c r="Z23" s="30"/>
      <c r="AB23" s="3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7"/>
      <c r="B24" s="31" t="s">
        <v>38</v>
      </c>
      <c r="C24" s="31" t="s">
        <v>122</v>
      </c>
      <c r="D24" s="3">
        <v>0.94</v>
      </c>
      <c r="E24" s="3">
        <v>0</v>
      </c>
      <c r="F24" s="3">
        <v>49.33</v>
      </c>
      <c r="G24" s="8">
        <f t="shared" si="0"/>
        <v>46.3702</v>
      </c>
      <c r="H24" s="3">
        <v>1</v>
      </c>
      <c r="I24" s="3">
        <v>4</v>
      </c>
      <c r="J24" s="3">
        <v>55</v>
      </c>
      <c r="K24" s="9">
        <v>45.6</v>
      </c>
      <c r="L24" s="10">
        <f t="shared" si="1"/>
        <v>42.864</v>
      </c>
      <c r="M24" s="11">
        <v>0</v>
      </c>
      <c r="N24" s="8">
        <f t="shared" si="2"/>
        <v>32.902714991822045</v>
      </c>
      <c r="O24" s="12">
        <f t="shared" si="3"/>
        <v>637.3573609688394</v>
      </c>
      <c r="P24" s="39" t="s">
        <v>142</v>
      </c>
      <c r="Q24" s="39" t="s">
        <v>88</v>
      </c>
      <c r="R24" s="39" t="s">
        <v>93</v>
      </c>
      <c r="S24" s="39" t="s">
        <v>87</v>
      </c>
      <c r="T24" s="39"/>
      <c r="U24" s="38"/>
      <c r="V24" s="37"/>
      <c r="W24" s="37"/>
      <c r="X24" s="37"/>
      <c r="Y24" s="39" t="s">
        <v>35</v>
      </c>
      <c r="Z24" s="30"/>
      <c r="AB24" s="3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7"/>
      <c r="B25" s="31"/>
      <c r="C25" s="31"/>
      <c r="D25" s="3"/>
      <c r="E25" s="3"/>
      <c r="F25" s="3"/>
      <c r="G25" s="8"/>
      <c r="H25" s="3"/>
      <c r="I25" s="3"/>
      <c r="J25" s="3"/>
      <c r="K25" s="9"/>
      <c r="L25" s="10"/>
      <c r="M25" s="11"/>
      <c r="N25" s="8"/>
      <c r="O25" s="12"/>
      <c r="P25" s="39"/>
      <c r="Q25" s="39"/>
      <c r="R25" s="39"/>
      <c r="S25" s="39"/>
      <c r="T25" s="39"/>
      <c r="U25" s="38"/>
      <c r="V25" s="37"/>
      <c r="W25" s="37"/>
      <c r="X25" s="37"/>
      <c r="Y25" s="39"/>
      <c r="Z25" s="30"/>
      <c r="AB25" s="3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7"/>
      <c r="B26" s="43" t="s">
        <v>175</v>
      </c>
      <c r="C26" s="31"/>
      <c r="D26" s="3"/>
      <c r="E26" s="3"/>
      <c r="F26" s="3"/>
      <c r="G26" s="8"/>
      <c r="H26" s="3"/>
      <c r="I26" s="3"/>
      <c r="J26" s="3"/>
      <c r="K26" s="9"/>
      <c r="L26" s="10"/>
      <c r="M26" s="11"/>
      <c r="N26" s="8"/>
      <c r="O26" s="12"/>
      <c r="P26" s="39"/>
      <c r="Q26" s="39"/>
      <c r="R26" s="39"/>
      <c r="S26" s="39"/>
      <c r="T26" s="39"/>
      <c r="U26" s="38"/>
      <c r="V26" s="37"/>
      <c r="W26" s="37"/>
      <c r="X26" s="37"/>
      <c r="Y26" s="39"/>
      <c r="Z26" s="30"/>
      <c r="AB26" s="3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31"/>
      <c r="D27" s="3"/>
      <c r="G27" s="3" t="s">
        <v>2</v>
      </c>
      <c r="H27" s="3"/>
      <c r="I27" s="3" t="s">
        <v>3</v>
      </c>
      <c r="J27" s="3"/>
      <c r="K27" s="4" t="s">
        <v>4</v>
      </c>
      <c r="L27" s="3" t="s">
        <v>2</v>
      </c>
      <c r="M27" s="3" t="s">
        <v>5</v>
      </c>
      <c r="N27" s="3" t="s">
        <v>6</v>
      </c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5" t="s">
        <v>27</v>
      </c>
      <c r="AB27" s="3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3:38" ht="12.75">
      <c r="C28" s="5" t="s">
        <v>7</v>
      </c>
      <c r="D28" s="3" t="s">
        <v>8</v>
      </c>
      <c r="E28" s="3" t="s">
        <v>9</v>
      </c>
      <c r="F28" s="3" t="s">
        <v>10</v>
      </c>
      <c r="G28" s="3" t="s">
        <v>10</v>
      </c>
      <c r="H28" s="3" t="s">
        <v>11</v>
      </c>
      <c r="I28" s="3" t="s">
        <v>12</v>
      </c>
      <c r="J28" s="3" t="s">
        <v>13</v>
      </c>
      <c r="K28" s="4" t="s">
        <v>14</v>
      </c>
      <c r="L28" s="3" t="s">
        <v>14</v>
      </c>
      <c r="M28" s="3" t="s">
        <v>15</v>
      </c>
      <c r="N28" s="3" t="s">
        <v>14</v>
      </c>
      <c r="O28" s="6" t="s">
        <v>16</v>
      </c>
      <c r="P28" s="3" t="s">
        <v>17</v>
      </c>
      <c r="Q28" s="3" t="s">
        <v>18</v>
      </c>
      <c r="R28" s="3" t="s">
        <v>19</v>
      </c>
      <c r="S28" s="3" t="s">
        <v>20</v>
      </c>
      <c r="T28" s="3" t="s">
        <v>21</v>
      </c>
      <c r="U28" s="3" t="s">
        <v>22</v>
      </c>
      <c r="V28" s="3" t="s">
        <v>23</v>
      </c>
      <c r="W28" s="3" t="s">
        <v>24</v>
      </c>
      <c r="X28" s="3" t="s">
        <v>25</v>
      </c>
      <c r="Y28" s="3" t="s">
        <v>26</v>
      </c>
      <c r="Z28" s="5"/>
      <c r="AB28" s="3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>
      <c r="A29" s="7"/>
      <c r="B29" s="30" t="s">
        <v>106</v>
      </c>
      <c r="C29" s="31"/>
      <c r="D29" s="3"/>
      <c r="E29" s="3"/>
      <c r="F29" s="3"/>
      <c r="G29" s="8"/>
      <c r="H29" s="3"/>
      <c r="I29" s="3"/>
      <c r="J29" s="3"/>
      <c r="K29" s="9"/>
      <c r="L29" s="10"/>
      <c r="M29" s="11"/>
      <c r="N29" s="8"/>
      <c r="O29" s="40"/>
      <c r="P29" s="39"/>
      <c r="Q29" s="39"/>
      <c r="R29" s="39"/>
      <c r="S29" s="39"/>
      <c r="T29" s="37"/>
      <c r="U29" s="38"/>
      <c r="V29" s="37"/>
      <c r="W29" s="37"/>
      <c r="X29" s="37"/>
      <c r="Y29" s="39"/>
      <c r="Z29" s="30"/>
      <c r="AB29" s="3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>
      <c r="A30" s="7">
        <v>39956</v>
      </c>
      <c r="B30" s="31" t="s">
        <v>105</v>
      </c>
      <c r="C30" s="31" t="s">
        <v>101</v>
      </c>
      <c r="D30" s="3">
        <v>0.925</v>
      </c>
      <c r="E30" s="3">
        <v>0</v>
      </c>
      <c r="F30" s="3">
        <v>92.62</v>
      </c>
      <c r="G30" s="8">
        <f aca="true" t="shared" si="4" ref="G30:G46">+(D30*(1-0.04*E30))*F30</f>
        <v>85.6735</v>
      </c>
      <c r="H30" s="3">
        <v>2</v>
      </c>
      <c r="I30" s="3">
        <v>0</v>
      </c>
      <c r="J30" s="3">
        <v>0</v>
      </c>
      <c r="K30" s="41">
        <f>92.62/2</f>
        <v>46.31</v>
      </c>
      <c r="L30" s="10">
        <f aca="true" t="shared" si="5" ref="L30:L41">+K30*D30</f>
        <v>42.83675</v>
      </c>
      <c r="M30" s="11">
        <v>1</v>
      </c>
      <c r="N30" s="8">
        <f aca="true" t="shared" si="6" ref="N30:N41">+K30*D30*(1-0.04*E30)*(1+0.05*MAX(H30+I30/60+J30/3600-1,0))*(1+0.03*$M30)*(H30+I30/60+J30/3600)/(H30+I30/60+J30/3600+1/3)</f>
        <v>39.70966725</v>
      </c>
      <c r="O30" s="12">
        <f aca="true" t="shared" si="7" ref="O30:O41">1000*(N30/MAX(N$30:N$41))</f>
        <v>1000</v>
      </c>
      <c r="P30" s="39" t="s">
        <v>69</v>
      </c>
      <c r="Q30" s="39" t="s">
        <v>88</v>
      </c>
      <c r="R30" s="39" t="s">
        <v>107</v>
      </c>
      <c r="S30" s="39"/>
      <c r="T30" s="37"/>
      <c r="U30" s="38"/>
      <c r="V30" s="37"/>
      <c r="W30" s="37"/>
      <c r="X30" s="37"/>
      <c r="Y30" s="39" t="s">
        <v>69</v>
      </c>
      <c r="Z30" t="s">
        <v>108</v>
      </c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>
      <c r="A31" s="7"/>
      <c r="B31" s="31" t="s">
        <v>111</v>
      </c>
      <c r="C31" s="31" t="s">
        <v>112</v>
      </c>
      <c r="D31" s="3">
        <v>0.881</v>
      </c>
      <c r="E31" s="3">
        <v>0</v>
      </c>
      <c r="F31" s="3">
        <v>95.43</v>
      </c>
      <c r="G31" s="8">
        <f t="shared" si="4"/>
        <v>84.07383</v>
      </c>
      <c r="H31" s="3">
        <v>2</v>
      </c>
      <c r="I31" s="3">
        <v>0</v>
      </c>
      <c r="J31" s="3">
        <v>0</v>
      </c>
      <c r="K31" s="9">
        <f>95.43/2</f>
        <v>47.715</v>
      </c>
      <c r="L31" s="10">
        <f t="shared" si="5"/>
        <v>42.036915</v>
      </c>
      <c r="M31" s="11">
        <v>1</v>
      </c>
      <c r="N31" s="8">
        <f t="shared" si="6"/>
        <v>38.968220205</v>
      </c>
      <c r="O31" s="12">
        <f t="shared" si="7"/>
        <v>981.3282987154721</v>
      </c>
      <c r="P31" s="39" t="s">
        <v>69</v>
      </c>
      <c r="Q31" s="39" t="s">
        <v>88</v>
      </c>
      <c r="R31" s="39" t="s">
        <v>107</v>
      </c>
      <c r="S31" s="39"/>
      <c r="T31" s="37"/>
      <c r="U31" s="38"/>
      <c r="V31" s="37"/>
      <c r="W31" s="37"/>
      <c r="X31" s="37"/>
      <c r="Y31" s="39" t="s">
        <v>69</v>
      </c>
      <c r="Z31" s="30" t="s">
        <v>113</v>
      </c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7"/>
      <c r="B32" s="31" t="s">
        <v>128</v>
      </c>
      <c r="C32" s="31" t="s">
        <v>129</v>
      </c>
      <c r="D32" s="3">
        <v>1.1</v>
      </c>
      <c r="E32" s="3">
        <v>0</v>
      </c>
      <c r="F32" s="3">
        <v>73.68</v>
      </c>
      <c r="G32" s="8">
        <f t="shared" si="4"/>
        <v>81.04800000000002</v>
      </c>
      <c r="H32" s="3">
        <v>2</v>
      </c>
      <c r="I32" s="3">
        <v>0</v>
      </c>
      <c r="J32" s="3">
        <v>0</v>
      </c>
      <c r="K32" s="9">
        <f>73.68/2</f>
        <v>36.84</v>
      </c>
      <c r="L32" s="10">
        <f t="shared" si="5"/>
        <v>40.52400000000001</v>
      </c>
      <c r="M32" s="11">
        <v>1</v>
      </c>
      <c r="N32" s="8">
        <f t="shared" si="6"/>
        <v>37.56574800000001</v>
      </c>
      <c r="O32" s="12">
        <f t="shared" si="7"/>
        <v>946.0101431597872</v>
      </c>
      <c r="P32" s="39" t="s">
        <v>69</v>
      </c>
      <c r="Q32" s="39" t="s">
        <v>88</v>
      </c>
      <c r="R32" s="39" t="s">
        <v>107</v>
      </c>
      <c r="S32" s="39"/>
      <c r="T32" s="37"/>
      <c r="U32" s="37"/>
      <c r="V32" s="37"/>
      <c r="W32" s="37"/>
      <c r="X32" s="37"/>
      <c r="Y32" s="39" t="s">
        <v>69</v>
      </c>
      <c r="Z32" s="32" t="s">
        <v>138</v>
      </c>
      <c r="AB32" s="3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2.75">
      <c r="A33" s="7"/>
      <c r="B33" s="31" t="s">
        <v>172</v>
      </c>
      <c r="C33" s="31" t="s">
        <v>131</v>
      </c>
      <c r="D33" s="3">
        <v>0.93</v>
      </c>
      <c r="E33" s="3">
        <v>0</v>
      </c>
      <c r="F33" s="3">
        <f>28.26+32.86+19.53</f>
        <v>80.65</v>
      </c>
      <c r="G33" s="8">
        <f t="shared" si="4"/>
        <v>75.00450000000001</v>
      </c>
      <c r="H33" s="3">
        <v>2</v>
      </c>
      <c r="I33" s="3">
        <v>0</v>
      </c>
      <c r="J33" s="3">
        <v>0</v>
      </c>
      <c r="K33" s="9">
        <v>40.32</v>
      </c>
      <c r="L33" s="10">
        <f t="shared" si="5"/>
        <v>37.497600000000006</v>
      </c>
      <c r="M33" s="11">
        <v>1</v>
      </c>
      <c r="N33" s="8">
        <f t="shared" si="6"/>
        <v>34.76027520000001</v>
      </c>
      <c r="O33" s="12">
        <f t="shared" si="7"/>
        <v>875.3605257168205</v>
      </c>
      <c r="P33" s="39" t="s">
        <v>69</v>
      </c>
      <c r="Q33" s="39" t="s">
        <v>88</v>
      </c>
      <c r="R33" s="39" t="s">
        <v>107</v>
      </c>
      <c r="S33" s="39"/>
      <c r="T33" s="37"/>
      <c r="U33" s="37"/>
      <c r="V33" s="37"/>
      <c r="W33" s="37"/>
      <c r="X33" s="37"/>
      <c r="Y33" s="39" t="s">
        <v>69</v>
      </c>
      <c r="Z33" s="32" t="s">
        <v>140</v>
      </c>
      <c r="AB33" s="3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2.75">
      <c r="A34" s="7"/>
      <c r="B34" s="31" t="s">
        <v>141</v>
      </c>
      <c r="C34" s="31" t="s">
        <v>122</v>
      </c>
      <c r="D34" s="3">
        <v>0.95</v>
      </c>
      <c r="E34" s="3">
        <v>0</v>
      </c>
      <c r="F34" s="3">
        <v>72.91</v>
      </c>
      <c r="G34" s="8">
        <f t="shared" si="4"/>
        <v>69.2645</v>
      </c>
      <c r="H34" s="3">
        <v>2</v>
      </c>
      <c r="I34" s="3">
        <v>0</v>
      </c>
      <c r="J34" s="3">
        <v>0</v>
      </c>
      <c r="K34" s="9">
        <f>72.91/2</f>
        <v>36.455</v>
      </c>
      <c r="L34" s="10">
        <f t="shared" si="5"/>
        <v>34.63225</v>
      </c>
      <c r="M34" s="11">
        <v>1</v>
      </c>
      <c r="N34" s="8">
        <f t="shared" si="6"/>
        <v>32.10409575</v>
      </c>
      <c r="O34" s="12">
        <f t="shared" si="7"/>
        <v>808.4705305607918</v>
      </c>
      <c r="P34" s="39" t="s">
        <v>69</v>
      </c>
      <c r="Q34" s="39" t="s">
        <v>88</v>
      </c>
      <c r="R34" s="39" t="s">
        <v>107</v>
      </c>
      <c r="S34" s="39"/>
      <c r="T34" s="37"/>
      <c r="U34" s="38"/>
      <c r="V34" s="37"/>
      <c r="W34" s="37"/>
      <c r="X34" s="37"/>
      <c r="Y34" s="39" t="s">
        <v>69</v>
      </c>
      <c r="Z34" s="30" t="s">
        <v>121</v>
      </c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2.75">
      <c r="A35" s="7"/>
      <c r="B35" s="31" t="s">
        <v>118</v>
      </c>
      <c r="C35" s="31" t="s">
        <v>119</v>
      </c>
      <c r="D35" s="3">
        <v>0.939</v>
      </c>
      <c r="E35" s="3">
        <v>0</v>
      </c>
      <c r="F35" s="3">
        <v>66.49</v>
      </c>
      <c r="G35" s="8">
        <f t="shared" si="4"/>
        <v>62.43410999999999</v>
      </c>
      <c r="H35" s="3">
        <v>2</v>
      </c>
      <c r="I35" s="3">
        <v>0</v>
      </c>
      <c r="J35" s="3">
        <v>0</v>
      </c>
      <c r="K35" s="41">
        <f>66.49/2</f>
        <v>33.245</v>
      </c>
      <c r="L35" s="10">
        <f t="shared" si="5"/>
        <v>31.217054999999995</v>
      </c>
      <c r="M35" s="11">
        <v>1</v>
      </c>
      <c r="N35" s="8">
        <f t="shared" si="6"/>
        <v>28.938209984999993</v>
      </c>
      <c r="O35" s="12">
        <f t="shared" si="7"/>
        <v>728.7447110249958</v>
      </c>
      <c r="P35" s="39" t="s">
        <v>69</v>
      </c>
      <c r="Q35" s="39" t="s">
        <v>88</v>
      </c>
      <c r="R35" s="39" t="s">
        <v>107</v>
      </c>
      <c r="S35" s="39"/>
      <c r="T35" s="37"/>
      <c r="U35" s="38"/>
      <c r="V35" s="37"/>
      <c r="W35" s="37"/>
      <c r="X35" s="37"/>
      <c r="Y35" s="39" t="s">
        <v>69</v>
      </c>
      <c r="Z35" s="30" t="s">
        <v>120</v>
      </c>
      <c r="AB35" s="3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7"/>
      <c r="B36" s="31" t="s">
        <v>153</v>
      </c>
      <c r="C36" s="31" t="s">
        <v>154</v>
      </c>
      <c r="D36" s="3">
        <v>0.894</v>
      </c>
      <c r="E36" s="3">
        <v>0</v>
      </c>
      <c r="F36" s="3">
        <v>69.67</v>
      </c>
      <c r="G36" s="8">
        <f t="shared" si="4"/>
        <v>62.284980000000004</v>
      </c>
      <c r="H36" s="3">
        <v>1</v>
      </c>
      <c r="I36" s="3">
        <v>56</v>
      </c>
      <c r="J36" s="3">
        <v>50</v>
      </c>
      <c r="K36" s="9">
        <v>35.78</v>
      </c>
      <c r="L36" s="10">
        <f t="shared" si="5"/>
        <v>31.98732</v>
      </c>
      <c r="M36" s="11">
        <v>0</v>
      </c>
      <c r="N36" s="8">
        <f t="shared" si="6"/>
        <v>28.605474770625257</v>
      </c>
      <c r="O36" s="12">
        <f t="shared" si="7"/>
        <v>720.3655117665398</v>
      </c>
      <c r="P36" s="39" t="s">
        <v>29</v>
      </c>
      <c r="Q36" s="39" t="s">
        <v>99</v>
      </c>
      <c r="R36" s="39" t="s">
        <v>67</v>
      </c>
      <c r="S36" s="39" t="s">
        <v>155</v>
      </c>
      <c r="T36" s="37" t="s">
        <v>145</v>
      </c>
      <c r="U36" s="37" t="s">
        <v>36</v>
      </c>
      <c r="V36" s="37"/>
      <c r="W36" s="37"/>
      <c r="X36" s="37"/>
      <c r="Y36" s="39" t="s">
        <v>29</v>
      </c>
      <c r="Z36" s="30"/>
      <c r="AB36" s="3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7"/>
      <c r="B37" s="31" t="s">
        <v>151</v>
      </c>
      <c r="C37" s="31" t="s">
        <v>149</v>
      </c>
      <c r="D37" s="3">
        <v>0.94</v>
      </c>
      <c r="E37" s="3">
        <v>0</v>
      </c>
      <c r="F37" s="3">
        <v>64.62</v>
      </c>
      <c r="G37" s="8">
        <f t="shared" si="4"/>
        <v>60.7428</v>
      </c>
      <c r="H37" s="3">
        <v>2</v>
      </c>
      <c r="I37" s="3">
        <v>0</v>
      </c>
      <c r="J37" s="3">
        <v>0</v>
      </c>
      <c r="K37" s="9">
        <f>64.62/2</f>
        <v>32.31</v>
      </c>
      <c r="L37" s="10">
        <f t="shared" si="5"/>
        <v>30.3714</v>
      </c>
      <c r="M37" s="11">
        <v>1</v>
      </c>
      <c r="N37" s="8">
        <f t="shared" si="6"/>
        <v>28.1542878</v>
      </c>
      <c r="O37" s="12">
        <f t="shared" si="7"/>
        <v>709.0033674356714</v>
      </c>
      <c r="P37" s="39" t="s">
        <v>69</v>
      </c>
      <c r="Q37" s="39" t="s">
        <v>88</v>
      </c>
      <c r="R37" s="39" t="s">
        <v>107</v>
      </c>
      <c r="S37" s="39"/>
      <c r="T37" s="37"/>
      <c r="U37" s="37"/>
      <c r="V37" s="37"/>
      <c r="W37" s="37"/>
      <c r="X37" s="37"/>
      <c r="Y37" s="39"/>
      <c r="Z37" s="30" t="s">
        <v>150</v>
      </c>
      <c r="AB37" s="3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7"/>
      <c r="B38" s="31" t="s">
        <v>109</v>
      </c>
      <c r="C38" s="31" t="s">
        <v>80</v>
      </c>
      <c r="D38" s="3">
        <v>0.99</v>
      </c>
      <c r="E38" s="3">
        <v>0</v>
      </c>
      <c r="F38" s="3">
        <v>61.27</v>
      </c>
      <c r="G38" s="8">
        <f t="shared" si="4"/>
        <v>60.6573</v>
      </c>
      <c r="H38" s="3">
        <v>2</v>
      </c>
      <c r="I38" s="3">
        <v>0</v>
      </c>
      <c r="J38" s="3">
        <v>0</v>
      </c>
      <c r="K38" s="9">
        <f>61.27/2</f>
        <v>30.635</v>
      </c>
      <c r="L38" s="10">
        <f t="shared" si="5"/>
        <v>30.32865</v>
      </c>
      <c r="M38" s="11">
        <v>1</v>
      </c>
      <c r="N38" s="8">
        <f t="shared" si="6"/>
        <v>28.114658549999998</v>
      </c>
      <c r="O38" s="12">
        <f t="shared" si="7"/>
        <v>708.0053925659626</v>
      </c>
      <c r="P38" s="39" t="s">
        <v>69</v>
      </c>
      <c r="Q38" s="39" t="s">
        <v>88</v>
      </c>
      <c r="R38" s="39" t="s">
        <v>107</v>
      </c>
      <c r="S38" s="39"/>
      <c r="T38" s="37"/>
      <c r="U38" s="38"/>
      <c r="V38" s="37"/>
      <c r="W38" s="37"/>
      <c r="X38" s="37"/>
      <c r="Y38" s="39" t="s">
        <v>69</v>
      </c>
      <c r="Z38" s="30" t="s">
        <v>110</v>
      </c>
      <c r="AB38" s="3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7"/>
      <c r="B39" s="31" t="s">
        <v>114</v>
      </c>
      <c r="C39" s="31" t="s">
        <v>115</v>
      </c>
      <c r="D39" s="3">
        <v>0.95</v>
      </c>
      <c r="E39" s="3">
        <v>0</v>
      </c>
      <c r="F39" s="3">
        <v>62.97</v>
      </c>
      <c r="G39" s="8">
        <f t="shared" si="4"/>
        <v>59.82149999999999</v>
      </c>
      <c r="H39" s="3">
        <v>2</v>
      </c>
      <c r="I39" s="3">
        <v>0</v>
      </c>
      <c r="J39" s="3">
        <v>0</v>
      </c>
      <c r="K39" s="9">
        <f>62.97/2</f>
        <v>31.485</v>
      </c>
      <c r="L39" s="10">
        <f t="shared" si="5"/>
        <v>29.910749999999997</v>
      </c>
      <c r="M39" s="11">
        <v>1</v>
      </c>
      <c r="N39" s="8">
        <f t="shared" si="6"/>
        <v>27.727265249999995</v>
      </c>
      <c r="O39" s="12">
        <f t="shared" si="7"/>
        <v>698.2497505062823</v>
      </c>
      <c r="P39" s="39" t="s">
        <v>69</v>
      </c>
      <c r="Q39" s="39" t="s">
        <v>88</v>
      </c>
      <c r="R39" s="39" t="s">
        <v>107</v>
      </c>
      <c r="S39" s="39"/>
      <c r="T39" s="37"/>
      <c r="U39" s="38"/>
      <c r="V39" s="37"/>
      <c r="W39" s="37"/>
      <c r="X39" s="37"/>
      <c r="Y39" s="39" t="s">
        <v>69</v>
      </c>
      <c r="Z39" s="30" t="s">
        <v>116</v>
      </c>
      <c r="AB39" s="3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7"/>
      <c r="B40" s="31" t="s">
        <v>185</v>
      </c>
      <c r="C40" s="31" t="s">
        <v>130</v>
      </c>
      <c r="D40" s="3">
        <v>0.95</v>
      </c>
      <c r="E40" s="3">
        <v>0</v>
      </c>
      <c r="F40" s="3">
        <v>57.54</v>
      </c>
      <c r="G40" s="8">
        <f t="shared" si="4"/>
        <v>54.663</v>
      </c>
      <c r="H40" s="3">
        <v>2</v>
      </c>
      <c r="I40" s="3">
        <v>0</v>
      </c>
      <c r="J40" s="3">
        <v>0</v>
      </c>
      <c r="K40" s="9">
        <f>57.54/2</f>
        <v>28.77</v>
      </c>
      <c r="L40" s="10">
        <f t="shared" si="5"/>
        <v>27.3315</v>
      </c>
      <c r="M40" s="11">
        <v>1</v>
      </c>
      <c r="N40" s="8">
        <f t="shared" si="6"/>
        <v>25.3363005</v>
      </c>
      <c r="O40" s="12">
        <f t="shared" si="7"/>
        <v>638.0386000338494</v>
      </c>
      <c r="P40" s="39" t="s">
        <v>69</v>
      </c>
      <c r="Q40" s="39" t="s">
        <v>88</v>
      </c>
      <c r="R40" s="39" t="s">
        <v>107</v>
      </c>
      <c r="S40" s="39"/>
      <c r="T40" s="37"/>
      <c r="U40" s="37"/>
      <c r="V40" s="37"/>
      <c r="W40" s="37"/>
      <c r="X40" s="37"/>
      <c r="Y40" s="39" t="s">
        <v>69</v>
      </c>
      <c r="Z40" s="30" t="s">
        <v>127</v>
      </c>
      <c r="AB40" s="3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7"/>
      <c r="B41" s="31" t="s">
        <v>152</v>
      </c>
      <c r="C41" s="31" t="s">
        <v>122</v>
      </c>
      <c r="D41" s="3">
        <v>0.94</v>
      </c>
      <c r="E41" s="3">
        <v>0</v>
      </c>
      <c r="F41" s="3">
        <v>35.37</v>
      </c>
      <c r="G41" s="8">
        <f t="shared" si="4"/>
        <v>33.2478</v>
      </c>
      <c r="H41" s="3">
        <v>1</v>
      </c>
      <c r="I41" s="3">
        <v>11</v>
      </c>
      <c r="J41" s="3">
        <v>55</v>
      </c>
      <c r="K41" s="9">
        <v>29.51</v>
      </c>
      <c r="L41" s="10">
        <f t="shared" si="5"/>
        <v>27.7394</v>
      </c>
      <c r="M41" s="11">
        <v>0</v>
      </c>
      <c r="N41" s="8">
        <f t="shared" si="6"/>
        <v>21.919157556071827</v>
      </c>
      <c r="O41" s="12">
        <f t="shared" si="7"/>
        <v>551.9854250622517</v>
      </c>
      <c r="P41" s="39" t="s">
        <v>69</v>
      </c>
      <c r="Q41" s="39" t="s">
        <v>88</v>
      </c>
      <c r="R41" s="39"/>
      <c r="S41" s="39"/>
      <c r="T41" s="37"/>
      <c r="U41" s="37"/>
      <c r="V41" s="37"/>
      <c r="W41" s="37"/>
      <c r="X41" s="37"/>
      <c r="Y41" s="39" t="s">
        <v>69</v>
      </c>
      <c r="Z41" s="30" t="s">
        <v>124</v>
      </c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2.75">
      <c r="A42" s="7"/>
      <c r="B42" s="31" t="s">
        <v>135</v>
      </c>
      <c r="C42" s="31" t="s">
        <v>122</v>
      </c>
      <c r="D42" s="3">
        <v>0.94</v>
      </c>
      <c r="E42" s="3">
        <v>0</v>
      </c>
      <c r="F42" s="3">
        <v>32.08</v>
      </c>
      <c r="G42" s="8">
        <f t="shared" si="4"/>
        <v>30.155199999999997</v>
      </c>
      <c r="H42" s="3"/>
      <c r="I42" s="3"/>
      <c r="J42" s="3"/>
      <c r="K42" s="9"/>
      <c r="L42" s="10"/>
      <c r="M42" s="11">
        <v>1</v>
      </c>
      <c r="N42" s="8"/>
      <c r="O42" s="40">
        <f>MIN(600*(G42/MAX(G$30:G$39)),1000)</f>
        <v>211.18688976171157</v>
      </c>
      <c r="P42" s="39" t="s">
        <v>69</v>
      </c>
      <c r="Q42" s="39" t="s">
        <v>88</v>
      </c>
      <c r="R42" s="39" t="s">
        <v>107</v>
      </c>
      <c r="S42" s="39"/>
      <c r="T42" s="37"/>
      <c r="U42" s="37"/>
      <c r="V42" s="37"/>
      <c r="W42" s="37"/>
      <c r="X42" s="37"/>
      <c r="Y42" s="39"/>
      <c r="Z42" s="30" t="s">
        <v>123</v>
      </c>
      <c r="AA42" s="39"/>
      <c r="AB42" s="27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2.75">
      <c r="A43" s="7"/>
      <c r="B43" s="31" t="s">
        <v>132</v>
      </c>
      <c r="C43" s="31" t="s">
        <v>133</v>
      </c>
      <c r="D43" s="3">
        <v>0.95</v>
      </c>
      <c r="E43" s="3">
        <v>0</v>
      </c>
      <c r="F43" s="3">
        <v>16.2</v>
      </c>
      <c r="G43" s="8">
        <f t="shared" si="4"/>
        <v>15.389999999999999</v>
      </c>
      <c r="H43" s="3"/>
      <c r="I43" s="3"/>
      <c r="J43" s="3"/>
      <c r="K43" s="9"/>
      <c r="L43" s="10"/>
      <c r="M43" s="11">
        <v>1</v>
      </c>
      <c r="N43" s="8"/>
      <c r="O43" s="40">
        <f>MIN(600*(G43/MAX(G$30:G$39)),1000)</f>
        <v>107.78128592855433</v>
      </c>
      <c r="P43" s="39" t="s">
        <v>69</v>
      </c>
      <c r="Q43" s="39" t="s">
        <v>88</v>
      </c>
      <c r="R43" s="39" t="s">
        <v>107</v>
      </c>
      <c r="S43" s="39"/>
      <c r="T43" s="37"/>
      <c r="U43" s="37"/>
      <c r="V43" s="37"/>
      <c r="W43" s="37"/>
      <c r="X43" s="37"/>
      <c r="Y43" s="39"/>
      <c r="Z43" s="30" t="s">
        <v>126</v>
      </c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7"/>
      <c r="B44" s="31" t="s">
        <v>125</v>
      </c>
      <c r="C44" s="31" t="s">
        <v>115</v>
      </c>
      <c r="D44" s="3">
        <v>0.95</v>
      </c>
      <c r="E44" s="3">
        <v>0</v>
      </c>
      <c r="F44" s="3">
        <v>15.73</v>
      </c>
      <c r="G44" s="8">
        <f t="shared" si="4"/>
        <v>14.9435</v>
      </c>
      <c r="H44" s="3"/>
      <c r="I44" s="3"/>
      <c r="J44" s="3"/>
      <c r="K44" s="9"/>
      <c r="L44" s="10"/>
      <c r="M44" s="11">
        <v>1</v>
      </c>
      <c r="N44" s="8"/>
      <c r="O44" s="40">
        <f>MIN(600*(G44/MAX(G$30:G$39)),1000)</f>
        <v>104.65429800346665</v>
      </c>
      <c r="P44" s="39" t="s">
        <v>69</v>
      </c>
      <c r="Q44" s="39" t="s">
        <v>88</v>
      </c>
      <c r="R44" s="39" t="s">
        <v>107</v>
      </c>
      <c r="S44" s="39"/>
      <c r="T44" s="37"/>
      <c r="U44" s="37"/>
      <c r="V44" s="37"/>
      <c r="W44" s="37"/>
      <c r="X44" s="37"/>
      <c r="Y44" s="39"/>
      <c r="Z44" s="30" t="s">
        <v>126</v>
      </c>
      <c r="AB44" s="3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7"/>
      <c r="B45" s="31" t="s">
        <v>136</v>
      </c>
      <c r="C45" s="42" t="s">
        <v>139</v>
      </c>
      <c r="D45" s="3">
        <v>1.18</v>
      </c>
      <c r="E45" s="3">
        <v>0</v>
      </c>
      <c r="F45" s="3">
        <v>8.4</v>
      </c>
      <c r="G45" s="8">
        <f t="shared" si="4"/>
        <v>9.911999999999999</v>
      </c>
      <c r="H45" s="3"/>
      <c r="I45" s="3"/>
      <c r="J45" s="3"/>
      <c r="K45" s="9"/>
      <c r="L45" s="10"/>
      <c r="M45" s="11">
        <v>1</v>
      </c>
      <c r="N45" s="8"/>
      <c r="O45" s="40">
        <f>MIN(600*(G45/MAX(G$30:G$39)),1000)</f>
        <v>69.41703093722094</v>
      </c>
      <c r="P45" s="39" t="s">
        <v>69</v>
      </c>
      <c r="Q45" s="39" t="s">
        <v>88</v>
      </c>
      <c r="R45" s="39" t="s">
        <v>107</v>
      </c>
      <c r="S45" s="39"/>
      <c r="T45" s="37"/>
      <c r="U45" s="38"/>
      <c r="V45" s="37"/>
      <c r="W45" s="37"/>
      <c r="X45" s="37"/>
      <c r="Y45" s="39"/>
      <c r="Z45" s="30" t="s">
        <v>117</v>
      </c>
      <c r="AB45" s="3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>
      <c r="A46" s="7"/>
      <c r="B46" s="31" t="s">
        <v>137</v>
      </c>
      <c r="C46" s="31" t="s">
        <v>134</v>
      </c>
      <c r="D46" s="3">
        <v>1.18</v>
      </c>
      <c r="E46" s="3">
        <v>0</v>
      </c>
      <c r="F46" s="3">
        <v>7.4</v>
      </c>
      <c r="G46" s="8">
        <f t="shared" si="4"/>
        <v>8.732</v>
      </c>
      <c r="H46" s="3"/>
      <c r="I46" s="3"/>
      <c r="J46" s="3"/>
      <c r="K46" s="9"/>
      <c r="L46" s="10"/>
      <c r="M46" s="11">
        <v>1</v>
      </c>
      <c r="N46" s="8"/>
      <c r="O46" s="40">
        <f>MIN(600*(G46/MAX(G$30:G$39)),1000)</f>
        <v>61.15309868278989</v>
      </c>
      <c r="P46" s="39" t="s">
        <v>69</v>
      </c>
      <c r="Q46" s="39" t="s">
        <v>88</v>
      </c>
      <c r="R46" s="39" t="s">
        <v>107</v>
      </c>
      <c r="S46" s="39"/>
      <c r="T46" s="37"/>
      <c r="U46" s="38"/>
      <c r="V46" s="37"/>
      <c r="W46" s="37"/>
      <c r="X46" s="37"/>
      <c r="Y46" s="39"/>
      <c r="Z46" s="30" t="s">
        <v>117</v>
      </c>
      <c r="AB46" s="3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>
      <c r="A47" s="7"/>
      <c r="B47" s="31"/>
      <c r="C47" s="31"/>
      <c r="D47" s="3"/>
      <c r="E47" s="3"/>
      <c r="F47" s="3"/>
      <c r="G47" s="8"/>
      <c r="H47" s="3"/>
      <c r="I47" s="3"/>
      <c r="J47" s="3"/>
      <c r="K47" s="9"/>
      <c r="L47" s="10"/>
      <c r="M47" s="11"/>
      <c r="N47" s="8"/>
      <c r="O47" s="40"/>
      <c r="P47" s="39"/>
      <c r="Q47" s="39"/>
      <c r="R47" s="39"/>
      <c r="S47" s="39"/>
      <c r="T47" s="37"/>
      <c r="U47" s="38"/>
      <c r="V47" s="37"/>
      <c r="W47" s="37"/>
      <c r="X47" s="37"/>
      <c r="Y47" s="39"/>
      <c r="Z47" s="30"/>
      <c r="AB47" s="3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>
      <c r="A48" s="7"/>
      <c r="B48" s="39" t="s">
        <v>157</v>
      </c>
      <c r="C48" s="31"/>
      <c r="D48" s="3"/>
      <c r="E48" s="3"/>
      <c r="F48" s="3"/>
      <c r="G48" s="8"/>
      <c r="H48" s="3"/>
      <c r="I48" s="3"/>
      <c r="J48" s="3"/>
      <c r="K48" s="9"/>
      <c r="L48" s="10"/>
      <c r="M48" s="11"/>
      <c r="N48" s="8"/>
      <c r="O48" s="40"/>
      <c r="P48" s="39"/>
      <c r="Q48" s="39"/>
      <c r="R48" s="39"/>
      <c r="S48" s="39"/>
      <c r="T48" s="37"/>
      <c r="U48" s="38"/>
      <c r="V48" s="37"/>
      <c r="W48" s="37"/>
      <c r="X48" s="37"/>
      <c r="Y48" s="39"/>
      <c r="Z48" s="30"/>
      <c r="AB48" s="3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7">
        <v>39957</v>
      </c>
      <c r="B49" s="31" t="s">
        <v>156</v>
      </c>
      <c r="C49" s="31" t="s">
        <v>101</v>
      </c>
      <c r="D49" s="3">
        <v>0.925</v>
      </c>
      <c r="E49" s="3">
        <v>0</v>
      </c>
      <c r="F49" s="3">
        <v>114.95</v>
      </c>
      <c r="G49" s="8">
        <f aca="true" t="shared" si="8" ref="G49:G55">+(D49*(1-0.04*E49))*F49</f>
        <v>106.32875000000001</v>
      </c>
      <c r="H49" s="3">
        <v>2</v>
      </c>
      <c r="I49" s="3">
        <v>30</v>
      </c>
      <c r="J49" s="3">
        <v>0</v>
      </c>
      <c r="K49" s="9">
        <f>114.95/2.5</f>
        <v>45.980000000000004</v>
      </c>
      <c r="L49" s="10">
        <f aca="true" t="shared" si="9" ref="L49:L55">+K49*D49</f>
        <v>42.53150000000001</v>
      </c>
      <c r="M49" s="11">
        <v>1</v>
      </c>
      <c r="N49" s="8">
        <f aca="true" t="shared" si="10" ref="N49:N55">+K49*D49*(1-0.04*E49)*(1+0.05*MAX(H49+I49/60+J49/3600-1,0))*(1+0.03*$M49)*(H49+I49/60+J49/3600)/(H49+I49/60+J49/3600+1/3)</f>
        <v>41.55265003676472</v>
      </c>
      <c r="O49" s="12">
        <f aca="true" t="shared" si="11" ref="O49:O55">1000*(N49/MAX(N$49:N$56))</f>
        <v>1000</v>
      </c>
      <c r="P49" s="39" t="s">
        <v>168</v>
      </c>
      <c r="Q49" s="39" t="s">
        <v>87</v>
      </c>
      <c r="R49" s="39" t="s">
        <v>93</v>
      </c>
      <c r="S49" s="39" t="s">
        <v>88</v>
      </c>
      <c r="T49" s="39" t="s">
        <v>107</v>
      </c>
      <c r="U49" s="38"/>
      <c r="V49" s="37"/>
      <c r="W49" s="37"/>
      <c r="X49" s="37"/>
      <c r="Y49" s="39"/>
      <c r="Z49" s="30"/>
      <c r="AB49" s="3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>
      <c r="A50" s="7"/>
      <c r="B50" s="31" t="s">
        <v>111</v>
      </c>
      <c r="C50" s="31" t="s">
        <v>112</v>
      </c>
      <c r="D50" s="3">
        <v>0.881</v>
      </c>
      <c r="E50" s="3">
        <v>0</v>
      </c>
      <c r="F50" s="3">
        <v>74.93</v>
      </c>
      <c r="G50" s="8">
        <f t="shared" si="8"/>
        <v>66.01333000000001</v>
      </c>
      <c r="H50" s="3">
        <v>2</v>
      </c>
      <c r="I50" s="3">
        <v>0</v>
      </c>
      <c r="J50" s="3">
        <v>0</v>
      </c>
      <c r="K50" s="9">
        <v>37.5</v>
      </c>
      <c r="L50" s="10">
        <f t="shared" si="9"/>
        <v>33.0375</v>
      </c>
      <c r="M50" s="11">
        <v>1</v>
      </c>
      <c r="N50" s="8">
        <f t="shared" si="10"/>
        <v>30.6257625</v>
      </c>
      <c r="O50" s="12">
        <f t="shared" si="11"/>
        <v>737.0351222582221</v>
      </c>
      <c r="P50" s="39" t="s">
        <v>158</v>
      </c>
      <c r="Q50" s="39"/>
      <c r="R50" s="39"/>
      <c r="S50" s="39"/>
      <c r="T50" s="37"/>
      <c r="U50" s="38"/>
      <c r="V50" s="37"/>
      <c r="W50" s="37"/>
      <c r="X50" s="37"/>
      <c r="Y50" s="39"/>
      <c r="Z50" s="30" t="s">
        <v>159</v>
      </c>
      <c r="AB50" s="3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>
      <c r="A51" s="7"/>
      <c r="B51" s="31" t="s">
        <v>172</v>
      </c>
      <c r="C51" s="31" t="s">
        <v>173</v>
      </c>
      <c r="D51" s="3">
        <v>0.93</v>
      </c>
      <c r="E51" s="3">
        <v>0</v>
      </c>
      <c r="F51" s="3">
        <f>26.744+26.568+11.266+6.804</f>
        <v>71.382</v>
      </c>
      <c r="G51" s="8">
        <f t="shared" si="8"/>
        <v>66.38526</v>
      </c>
      <c r="H51" s="3">
        <v>2</v>
      </c>
      <c r="I51" s="3">
        <v>3</v>
      </c>
      <c r="J51" s="3">
        <v>0</v>
      </c>
      <c r="K51" s="9">
        <f>+F51/(2+0.05)</f>
        <v>34.820487804878056</v>
      </c>
      <c r="L51" s="10">
        <f t="shared" si="9"/>
        <v>32.383053658536596</v>
      </c>
      <c r="M51" s="11">
        <v>1</v>
      </c>
      <c r="N51" s="8">
        <f t="shared" si="10"/>
        <v>30.19577653195805</v>
      </c>
      <c r="O51" s="12">
        <f t="shared" si="11"/>
        <v>726.6871428234205</v>
      </c>
      <c r="P51" s="39" t="s">
        <v>158</v>
      </c>
      <c r="Q51" s="39"/>
      <c r="R51" s="39"/>
      <c r="S51" s="39"/>
      <c r="T51" s="37"/>
      <c r="U51" s="38"/>
      <c r="V51" s="37"/>
      <c r="W51" s="37"/>
      <c r="X51" s="37"/>
      <c r="Y51" s="39"/>
      <c r="Z51" s="30"/>
      <c r="AB51" s="3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>
      <c r="A52" s="7"/>
      <c r="B52" s="31" t="s">
        <v>135</v>
      </c>
      <c r="C52" s="31" t="s">
        <v>122</v>
      </c>
      <c r="D52" s="3">
        <v>0.94</v>
      </c>
      <c r="E52" s="3">
        <v>0</v>
      </c>
      <c r="F52" s="3">
        <v>68.29</v>
      </c>
      <c r="G52" s="8">
        <f t="shared" si="8"/>
        <v>64.1926</v>
      </c>
      <c r="H52" s="3">
        <v>2</v>
      </c>
      <c r="I52" s="3">
        <v>0</v>
      </c>
      <c r="J52" s="3">
        <v>0</v>
      </c>
      <c r="K52" s="9">
        <f>68.29/2</f>
        <v>34.145</v>
      </c>
      <c r="L52" s="10">
        <f t="shared" si="9"/>
        <v>32.0963</v>
      </c>
      <c r="M52" s="11">
        <v>1</v>
      </c>
      <c r="N52" s="8">
        <f t="shared" si="10"/>
        <v>29.753270099999998</v>
      </c>
      <c r="O52" s="12">
        <f t="shared" si="11"/>
        <v>716.037847734743</v>
      </c>
      <c r="P52" s="39" t="s">
        <v>158</v>
      </c>
      <c r="Q52" s="39"/>
      <c r="R52" s="39"/>
      <c r="S52" s="39"/>
      <c r="T52" s="37"/>
      <c r="U52" s="38"/>
      <c r="V52" s="37"/>
      <c r="W52" s="37"/>
      <c r="X52" s="37"/>
      <c r="Y52" s="39"/>
      <c r="Z52" s="30" t="s">
        <v>161</v>
      </c>
      <c r="AB52" s="3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7"/>
      <c r="B53" s="31" t="s">
        <v>118</v>
      </c>
      <c r="C53" s="31" t="s">
        <v>119</v>
      </c>
      <c r="D53" s="3">
        <v>0.939</v>
      </c>
      <c r="E53" s="3">
        <v>0</v>
      </c>
      <c r="F53" s="3">
        <v>61.89</v>
      </c>
      <c r="G53" s="8">
        <f t="shared" si="8"/>
        <v>58.114709999999995</v>
      </c>
      <c r="H53" s="3">
        <v>2</v>
      </c>
      <c r="I53" s="3">
        <v>0</v>
      </c>
      <c r="J53" s="3">
        <v>0</v>
      </c>
      <c r="K53" s="9">
        <f>61.89/2</f>
        <v>30.945</v>
      </c>
      <c r="L53" s="10">
        <f t="shared" si="9"/>
        <v>29.057354999999998</v>
      </c>
      <c r="M53" s="11">
        <v>1</v>
      </c>
      <c r="N53" s="8">
        <f t="shared" si="10"/>
        <v>26.936168085000002</v>
      </c>
      <c r="O53" s="12">
        <f t="shared" si="11"/>
        <v>648.2418825554464</v>
      </c>
      <c r="P53" s="39" t="s">
        <v>158</v>
      </c>
      <c r="Q53" s="39"/>
      <c r="R53" s="39"/>
      <c r="S53" s="39"/>
      <c r="T53" s="37"/>
      <c r="U53" s="38"/>
      <c r="V53" s="37"/>
      <c r="W53" s="37"/>
      <c r="X53" s="37"/>
      <c r="Y53" s="39"/>
      <c r="Z53" s="30" t="s">
        <v>162</v>
      </c>
      <c r="AB53" s="3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>
      <c r="A54" s="7"/>
      <c r="B54" s="31" t="s">
        <v>128</v>
      </c>
      <c r="C54" s="31" t="s">
        <v>163</v>
      </c>
      <c r="D54" s="3">
        <v>1.1</v>
      </c>
      <c r="E54" s="3">
        <v>0</v>
      </c>
      <c r="F54" s="3">
        <v>47.26</v>
      </c>
      <c r="G54" s="8">
        <f t="shared" si="8"/>
        <v>51.986000000000004</v>
      </c>
      <c r="H54" s="3">
        <v>2</v>
      </c>
      <c r="I54" s="3">
        <v>5</v>
      </c>
      <c r="J54" s="3">
        <v>29</v>
      </c>
      <c r="K54" s="9">
        <v>22.6</v>
      </c>
      <c r="L54" s="10">
        <f t="shared" si="9"/>
        <v>24.860000000000003</v>
      </c>
      <c r="M54" s="11">
        <v>1</v>
      </c>
      <c r="N54" s="8">
        <f t="shared" si="10"/>
        <v>23.29090352140025</v>
      </c>
      <c r="O54" s="12">
        <f t="shared" si="11"/>
        <v>560.5154785746049</v>
      </c>
      <c r="P54" s="39" t="s">
        <v>158</v>
      </c>
      <c r="Q54" s="39"/>
      <c r="R54" s="39"/>
      <c r="S54" s="39"/>
      <c r="T54" s="37"/>
      <c r="U54" s="38"/>
      <c r="V54" s="37"/>
      <c r="W54" s="37"/>
      <c r="X54" s="37"/>
      <c r="Y54" s="39"/>
      <c r="Z54" s="30"/>
      <c r="AB54" s="3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>
      <c r="A55" s="7"/>
      <c r="B55" s="31" t="s">
        <v>174</v>
      </c>
      <c r="C55" s="31" t="s">
        <v>134</v>
      </c>
      <c r="D55" s="3">
        <v>1.18</v>
      </c>
      <c r="E55" s="3">
        <v>0</v>
      </c>
      <c r="F55" s="3">
        <v>41.96</v>
      </c>
      <c r="G55" s="8">
        <f t="shared" si="8"/>
        <v>49.5128</v>
      </c>
      <c r="H55" s="3">
        <v>2</v>
      </c>
      <c r="I55" s="3">
        <v>3</v>
      </c>
      <c r="J55" s="3">
        <v>36</v>
      </c>
      <c r="K55" s="9">
        <v>20.37</v>
      </c>
      <c r="L55" s="10">
        <f t="shared" si="9"/>
        <v>24.0366</v>
      </c>
      <c r="M55" s="11">
        <v>1</v>
      </c>
      <c r="N55" s="8">
        <f t="shared" si="10"/>
        <v>22.43895683049025</v>
      </c>
      <c r="O55" s="12">
        <f t="shared" si="11"/>
        <v>540.0126540819138</v>
      </c>
      <c r="P55" s="39" t="s">
        <v>158</v>
      </c>
      <c r="Q55" s="39"/>
      <c r="R55" s="39"/>
      <c r="S55" s="39"/>
      <c r="T55" s="37"/>
      <c r="U55" s="38"/>
      <c r="V55" s="37"/>
      <c r="W55" s="37"/>
      <c r="X55" s="37"/>
      <c r="Y55" s="39"/>
      <c r="Z55" s="30"/>
      <c r="AB55" s="3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>
      <c r="A56" s="7"/>
      <c r="B56" s="31" t="s">
        <v>109</v>
      </c>
      <c r="C56" s="31" t="s">
        <v>80</v>
      </c>
      <c r="D56" s="3">
        <v>0.99</v>
      </c>
      <c r="E56" s="3">
        <v>0</v>
      </c>
      <c r="F56" s="3">
        <v>45.13</v>
      </c>
      <c r="G56" s="8">
        <f>+(D56*(1-0.04*E56))*F56</f>
        <v>44.6787</v>
      </c>
      <c r="H56" s="3">
        <v>2</v>
      </c>
      <c r="I56" s="3">
        <v>0</v>
      </c>
      <c r="J56" s="3">
        <v>0</v>
      </c>
      <c r="K56" s="9">
        <f>45.13/2</f>
        <v>22.565</v>
      </c>
      <c r="L56" s="10">
        <f>+K56*D56</f>
        <v>22.33935</v>
      </c>
      <c r="M56" s="11">
        <v>1</v>
      </c>
      <c r="N56" s="8">
        <f>+K56*D56*(1-0.04*E56)*(1+0.05*MAX(H56+I56/60+J56/3600-1,0))*(1+0.03*$M56)*(H56+I56/60+J56/3600)/(H56+I56/60+J56/3600+1/3)</f>
        <v>20.70857745</v>
      </c>
      <c r="O56" s="12">
        <f>1000*(N56/MAX(N$49:N$56))</f>
        <v>498.3695969252883</v>
      </c>
      <c r="P56" s="39" t="s">
        <v>158</v>
      </c>
      <c r="Q56" s="39"/>
      <c r="R56" s="39"/>
      <c r="S56" s="39"/>
      <c r="T56" s="37"/>
      <c r="U56" s="38"/>
      <c r="V56" s="37"/>
      <c r="W56" s="37"/>
      <c r="X56" s="37"/>
      <c r="Y56" s="39"/>
      <c r="Z56" s="30" t="s">
        <v>160</v>
      </c>
      <c r="AB56" s="3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>
      <c r="A57" s="7"/>
      <c r="B57" s="31" t="s">
        <v>185</v>
      </c>
      <c r="C57" s="31" t="s">
        <v>170</v>
      </c>
      <c r="D57" s="3">
        <v>0.95</v>
      </c>
      <c r="E57" s="3">
        <v>0</v>
      </c>
      <c r="F57" s="3">
        <f>30.64+18.47+19.36</f>
        <v>68.47</v>
      </c>
      <c r="G57" s="8">
        <f>+(D57*(1-0.04*E57))*F57</f>
        <v>65.0465</v>
      </c>
      <c r="H57" s="3"/>
      <c r="I57" s="3"/>
      <c r="J57" s="3"/>
      <c r="K57" s="9"/>
      <c r="L57" s="10"/>
      <c r="M57" s="11">
        <v>1</v>
      </c>
      <c r="N57" s="8"/>
      <c r="O57" s="40">
        <f>MIN(600*(G57/MAX(G$49:G$57)),1000)</f>
        <v>367.0493634129997</v>
      </c>
      <c r="P57" s="39" t="s">
        <v>168</v>
      </c>
      <c r="Q57" s="39" t="s">
        <v>87</v>
      </c>
      <c r="R57" s="39" t="s">
        <v>93</v>
      </c>
      <c r="S57" s="39" t="s">
        <v>88</v>
      </c>
      <c r="T57" s="37"/>
      <c r="U57" s="38"/>
      <c r="V57" s="37"/>
      <c r="W57" s="37"/>
      <c r="X57" s="37"/>
      <c r="Y57" s="39"/>
      <c r="Z57" s="39" t="s">
        <v>171</v>
      </c>
      <c r="AB57" s="3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>
      <c r="A58" s="7"/>
      <c r="B58" s="31" t="s">
        <v>180</v>
      </c>
      <c r="C58" s="31" t="s">
        <v>169</v>
      </c>
      <c r="D58" s="3">
        <v>1.18</v>
      </c>
      <c r="E58" s="3">
        <v>0</v>
      </c>
      <c r="F58" s="3">
        <v>14.03</v>
      </c>
      <c r="G58" s="8">
        <f>+(D58*(1-0.04*E58))*F58</f>
        <v>16.5554</v>
      </c>
      <c r="H58" s="3"/>
      <c r="I58" s="3"/>
      <c r="J58" s="3"/>
      <c r="K58" s="9"/>
      <c r="L58" s="10"/>
      <c r="M58" s="11">
        <v>1</v>
      </c>
      <c r="N58" s="8"/>
      <c r="O58" s="40">
        <f>MIN(600*(G58/MAX(G$49:G$57)),1000)</f>
        <v>93.4200768841917</v>
      </c>
      <c r="P58" s="39" t="s">
        <v>158</v>
      </c>
      <c r="Q58" s="39"/>
      <c r="R58" s="39"/>
      <c r="S58" s="39"/>
      <c r="T58" s="37"/>
      <c r="U58" s="38"/>
      <c r="V58" s="37"/>
      <c r="W58" s="37"/>
      <c r="X58" s="37"/>
      <c r="Z58" s="32"/>
      <c r="AB58" s="3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>
      <c r="A59" s="7"/>
      <c r="B59" s="31"/>
      <c r="C59" s="31"/>
      <c r="D59" s="3"/>
      <c r="E59" s="3"/>
      <c r="F59" s="3"/>
      <c r="G59" s="8"/>
      <c r="H59" s="3"/>
      <c r="I59" s="3"/>
      <c r="J59" s="3"/>
      <c r="K59" s="9"/>
      <c r="L59" s="10"/>
      <c r="M59" s="11"/>
      <c r="N59" s="8"/>
      <c r="O59" s="40"/>
      <c r="P59" s="39"/>
      <c r="Q59" s="39"/>
      <c r="R59" s="39"/>
      <c r="S59" s="39"/>
      <c r="T59" s="37"/>
      <c r="U59" s="38"/>
      <c r="V59" s="37"/>
      <c r="W59" s="37"/>
      <c r="X59" s="37"/>
      <c r="Z59" s="32"/>
      <c r="AB59" s="3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>
      <c r="A60" s="7"/>
      <c r="B60" s="43" t="s">
        <v>176</v>
      </c>
      <c r="C60" s="31"/>
      <c r="D60" s="3"/>
      <c r="E60" s="3"/>
      <c r="F60" s="3"/>
      <c r="G60" s="8"/>
      <c r="H60" s="3"/>
      <c r="I60" s="3"/>
      <c r="J60" s="3"/>
      <c r="K60" s="9"/>
      <c r="L60" s="10"/>
      <c r="M60" s="11"/>
      <c r="N60" s="8"/>
      <c r="O60" s="40"/>
      <c r="P60" s="39"/>
      <c r="Q60" s="39"/>
      <c r="R60" s="39"/>
      <c r="S60" s="39"/>
      <c r="T60" s="37"/>
      <c r="U60" s="38"/>
      <c r="V60" s="37"/>
      <c r="W60" s="37"/>
      <c r="X60" s="37"/>
      <c r="Z60" s="32"/>
      <c r="AB60" s="3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>
      <c r="A61" s="7"/>
      <c r="B61" s="43"/>
      <c r="C61" s="31" t="s">
        <v>177</v>
      </c>
      <c r="D61" s="31" t="s">
        <v>178</v>
      </c>
      <c r="E61" s="31" t="s">
        <v>179</v>
      </c>
      <c r="F61" s="3"/>
      <c r="G61" s="8"/>
      <c r="H61" s="3"/>
      <c r="I61" s="3"/>
      <c r="J61" s="3"/>
      <c r="K61" s="9"/>
      <c r="L61" s="10"/>
      <c r="M61" s="11"/>
      <c r="N61" s="8"/>
      <c r="O61" s="40"/>
      <c r="P61" s="39"/>
      <c r="Q61" s="39"/>
      <c r="R61" s="39"/>
      <c r="S61" s="39"/>
      <c r="T61" s="37"/>
      <c r="U61" s="38"/>
      <c r="V61" s="37"/>
      <c r="W61" s="37"/>
      <c r="X61" s="37"/>
      <c r="Z61" s="32"/>
      <c r="AB61" s="3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>
      <c r="A62" s="45">
        <v>1</v>
      </c>
      <c r="B62" s="31" t="s">
        <v>105</v>
      </c>
      <c r="C62" s="44">
        <f>+O$30</f>
        <v>1000</v>
      </c>
      <c r="D62" s="13">
        <f>+O$49</f>
        <v>1000</v>
      </c>
      <c r="E62" s="13">
        <f aca="true" t="shared" si="12" ref="E62:E76">+C62+D62</f>
        <v>2000</v>
      </c>
      <c r="F62" s="3"/>
      <c r="G62" s="8"/>
      <c r="H62" s="3"/>
      <c r="I62" s="3"/>
      <c r="J62" s="3"/>
      <c r="K62" s="9"/>
      <c r="L62" s="10"/>
      <c r="M62" s="11"/>
      <c r="N62" s="8"/>
      <c r="O62" s="40"/>
      <c r="P62" s="39"/>
      <c r="Q62" s="39"/>
      <c r="R62" s="39"/>
      <c r="S62" s="39"/>
      <c r="T62" s="37"/>
      <c r="U62" s="38"/>
      <c r="V62" s="37"/>
      <c r="W62" s="37"/>
      <c r="X62" s="37"/>
      <c r="Z62" s="32"/>
      <c r="AB62" s="3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>
      <c r="A63" s="45">
        <v>2</v>
      </c>
      <c r="B63" s="31" t="s">
        <v>111</v>
      </c>
      <c r="C63" s="44">
        <f>+O$31</f>
        <v>981.3282987154721</v>
      </c>
      <c r="D63" s="13">
        <f>+O$50</f>
        <v>737.0351222582221</v>
      </c>
      <c r="E63" s="13">
        <f t="shared" si="12"/>
        <v>1718.3634209736942</v>
      </c>
      <c r="F63" s="3"/>
      <c r="G63" s="8"/>
      <c r="H63" s="3"/>
      <c r="I63" s="3"/>
      <c r="J63" s="3"/>
      <c r="K63" s="9"/>
      <c r="L63" s="10"/>
      <c r="M63" s="11"/>
      <c r="N63" s="8"/>
      <c r="O63" s="40"/>
      <c r="P63" s="39"/>
      <c r="Q63" s="39"/>
      <c r="R63" s="39"/>
      <c r="S63" s="39"/>
      <c r="T63" s="37"/>
      <c r="U63" s="38"/>
      <c r="V63" s="37"/>
      <c r="W63" s="37"/>
      <c r="X63" s="37"/>
      <c r="Z63" s="32"/>
      <c r="AB63" s="3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>
      <c r="A64" s="45">
        <v>3</v>
      </c>
      <c r="B64" s="31" t="s">
        <v>172</v>
      </c>
      <c r="C64" s="44">
        <f>+O$33</f>
        <v>875.3605257168205</v>
      </c>
      <c r="D64" s="13">
        <f>+O$51</f>
        <v>726.6871428234205</v>
      </c>
      <c r="E64" s="13">
        <f t="shared" si="12"/>
        <v>1602.047668540241</v>
      </c>
      <c r="F64" s="3"/>
      <c r="G64" s="8"/>
      <c r="H64" s="3"/>
      <c r="I64" s="3"/>
      <c r="J64" s="3"/>
      <c r="K64" s="9"/>
      <c r="L64" s="10"/>
      <c r="M64" s="11"/>
      <c r="N64" s="8"/>
      <c r="O64" s="40"/>
      <c r="P64" s="39"/>
      <c r="Q64" s="39"/>
      <c r="R64" s="39"/>
      <c r="S64" s="39"/>
      <c r="T64" s="37"/>
      <c r="U64" s="38"/>
      <c r="V64" s="37"/>
      <c r="W64" s="37"/>
      <c r="X64" s="37"/>
      <c r="Z64" s="32"/>
      <c r="AB64" s="3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>
      <c r="A65" s="45">
        <v>4</v>
      </c>
      <c r="B65" s="31" t="s">
        <v>128</v>
      </c>
      <c r="C65" s="44">
        <f>+O$32</f>
        <v>946.0101431597872</v>
      </c>
      <c r="D65" s="13">
        <f>+O$54</f>
        <v>560.5154785746049</v>
      </c>
      <c r="E65" s="13">
        <f t="shared" si="12"/>
        <v>1506.5256217343922</v>
      </c>
      <c r="F65" s="3"/>
      <c r="G65" s="8"/>
      <c r="H65" s="3"/>
      <c r="I65" s="3"/>
      <c r="J65" s="3"/>
      <c r="K65" s="9"/>
      <c r="L65" s="10"/>
      <c r="M65" s="11"/>
      <c r="N65" s="8"/>
      <c r="O65" s="40"/>
      <c r="P65" s="39"/>
      <c r="Q65" s="39"/>
      <c r="R65" s="39"/>
      <c r="S65" s="39"/>
      <c r="T65" s="37"/>
      <c r="U65" s="38"/>
      <c r="V65" s="37"/>
      <c r="W65" s="37"/>
      <c r="X65" s="37"/>
      <c r="Z65" s="32"/>
      <c r="AB65" s="3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>
      <c r="A66" s="45">
        <v>5</v>
      </c>
      <c r="B66" s="31" t="s">
        <v>118</v>
      </c>
      <c r="C66" s="44">
        <f>+O$35</f>
        <v>728.7447110249958</v>
      </c>
      <c r="D66" s="13">
        <f>+O$53</f>
        <v>648.2418825554464</v>
      </c>
      <c r="E66" s="13">
        <f t="shared" si="12"/>
        <v>1376.9865935804423</v>
      </c>
      <c r="F66" s="3"/>
      <c r="G66" s="8"/>
      <c r="H66" s="3"/>
      <c r="I66" s="3"/>
      <c r="J66" s="3"/>
      <c r="K66" s="9"/>
      <c r="L66" s="10"/>
      <c r="M66" s="11"/>
      <c r="N66" s="8"/>
      <c r="O66" s="40"/>
      <c r="P66" s="39"/>
      <c r="Q66" s="39"/>
      <c r="R66" s="39"/>
      <c r="S66" s="39"/>
      <c r="T66" s="37"/>
      <c r="U66" s="38"/>
      <c r="V66" s="37"/>
      <c r="W66" s="37"/>
      <c r="X66" s="37"/>
      <c r="Z66" s="32"/>
      <c r="AB66" s="3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>
      <c r="A67" s="45">
        <v>6</v>
      </c>
      <c r="B67" s="31" t="s">
        <v>135</v>
      </c>
      <c r="C67" s="29">
        <f>+O$41</f>
        <v>551.9854250622517</v>
      </c>
      <c r="D67" s="13">
        <f>+O$52</f>
        <v>716.037847734743</v>
      </c>
      <c r="E67" s="13">
        <f t="shared" si="12"/>
        <v>1268.0232727969947</v>
      </c>
      <c r="F67" s="3"/>
      <c r="G67" s="8"/>
      <c r="H67" s="3"/>
      <c r="I67" s="3"/>
      <c r="J67" s="3"/>
      <c r="K67" s="9"/>
      <c r="L67" s="10"/>
      <c r="M67" s="11"/>
      <c r="N67" s="8"/>
      <c r="O67" s="40"/>
      <c r="P67" s="39"/>
      <c r="Q67" s="39"/>
      <c r="R67" s="39"/>
      <c r="S67" s="39"/>
      <c r="T67" s="37"/>
      <c r="U67" s="38"/>
      <c r="V67" s="37"/>
      <c r="W67" s="37"/>
      <c r="X67" s="37"/>
      <c r="Z67" s="32"/>
      <c r="AB67" s="3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>
      <c r="A68" s="45">
        <v>7</v>
      </c>
      <c r="B68" s="31" t="s">
        <v>109</v>
      </c>
      <c r="C68" s="44">
        <f>+O$38</f>
        <v>708.0053925659626</v>
      </c>
      <c r="D68" s="13">
        <f>+O$56</f>
        <v>498.3695969252883</v>
      </c>
      <c r="E68" s="13">
        <f t="shared" si="12"/>
        <v>1206.3749894912507</v>
      </c>
      <c r="F68" s="3"/>
      <c r="G68" s="8"/>
      <c r="H68" s="3"/>
      <c r="I68" s="3"/>
      <c r="J68" s="3"/>
      <c r="K68" s="9"/>
      <c r="L68" s="10"/>
      <c r="M68" s="11"/>
      <c r="N68" s="8"/>
      <c r="O68" s="40"/>
      <c r="P68" s="39"/>
      <c r="Q68" s="39"/>
      <c r="R68" s="39"/>
      <c r="S68" s="39"/>
      <c r="T68" s="37"/>
      <c r="U68" s="38"/>
      <c r="V68" s="37"/>
      <c r="W68" s="37"/>
      <c r="X68" s="37"/>
      <c r="Z68" s="32"/>
      <c r="AB68" s="3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>
      <c r="A69" s="45">
        <v>8</v>
      </c>
      <c r="B69" s="31" t="s">
        <v>185</v>
      </c>
      <c r="C69" s="29">
        <f>+O$40</f>
        <v>638.0386000338494</v>
      </c>
      <c r="D69" s="13">
        <f>+O$57</f>
        <v>367.0493634129997</v>
      </c>
      <c r="E69" s="13">
        <f t="shared" si="12"/>
        <v>1005.0879634468491</v>
      </c>
      <c r="F69" s="3"/>
      <c r="G69" s="8"/>
      <c r="H69" s="3"/>
      <c r="I69" s="3"/>
      <c r="J69" s="3"/>
      <c r="K69" s="9"/>
      <c r="L69" s="10"/>
      <c r="M69" s="11"/>
      <c r="N69" s="8"/>
      <c r="O69" s="40"/>
      <c r="P69" s="39"/>
      <c r="Q69" s="39"/>
      <c r="R69" s="39"/>
      <c r="S69" s="39"/>
      <c r="T69" s="37"/>
      <c r="U69" s="38"/>
      <c r="V69" s="37"/>
      <c r="W69" s="37"/>
      <c r="X69" s="37"/>
      <c r="Z69" s="32"/>
      <c r="AB69" s="3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>
      <c r="A70" s="45">
        <v>9</v>
      </c>
      <c r="B70" s="31" t="s">
        <v>141</v>
      </c>
      <c r="C70" s="44">
        <f>+O$34</f>
        <v>808.4705305607918</v>
      </c>
      <c r="D70" s="3"/>
      <c r="E70" s="13">
        <f t="shared" si="12"/>
        <v>808.4705305607918</v>
      </c>
      <c r="F70" s="3"/>
      <c r="G70" s="8"/>
      <c r="H70" s="3"/>
      <c r="I70" s="3"/>
      <c r="J70" s="3"/>
      <c r="K70" s="9"/>
      <c r="L70" s="10"/>
      <c r="M70" s="11"/>
      <c r="N70" s="8"/>
      <c r="O70" s="40"/>
      <c r="P70" s="39"/>
      <c r="Q70" s="39"/>
      <c r="R70" s="39"/>
      <c r="S70" s="39"/>
      <c r="T70" s="37"/>
      <c r="U70" s="38"/>
      <c r="V70" s="37"/>
      <c r="W70" s="37"/>
      <c r="X70" s="37"/>
      <c r="Z70" s="32"/>
      <c r="AB70" s="3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>
      <c r="A71" s="45">
        <v>10</v>
      </c>
      <c r="B71" s="31" t="s">
        <v>151</v>
      </c>
      <c r="C71" s="44">
        <f>+O$37</f>
        <v>709.0033674356714</v>
      </c>
      <c r="D71" s="3"/>
      <c r="E71" s="13">
        <f t="shared" si="12"/>
        <v>709.0033674356714</v>
      </c>
      <c r="F71" s="3"/>
      <c r="G71" s="8"/>
      <c r="H71" s="3"/>
      <c r="I71" s="3"/>
      <c r="J71" s="3"/>
      <c r="K71" s="9"/>
      <c r="L71" s="10"/>
      <c r="M71" s="11"/>
      <c r="N71" s="8"/>
      <c r="O71" s="40"/>
      <c r="P71" s="39"/>
      <c r="Q71" s="39"/>
      <c r="R71" s="39"/>
      <c r="S71" s="39"/>
      <c r="T71" s="37"/>
      <c r="U71" s="38"/>
      <c r="V71" s="37"/>
      <c r="W71" s="37"/>
      <c r="X71" s="37"/>
      <c r="Z71" s="32"/>
      <c r="AB71" s="3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>
      <c r="A72" s="45">
        <v>11</v>
      </c>
      <c r="B72" s="31" t="s">
        <v>114</v>
      </c>
      <c r="C72" s="44">
        <f>+O$39</f>
        <v>698.2497505062823</v>
      </c>
      <c r="D72" s="3"/>
      <c r="E72" s="13">
        <f t="shared" si="12"/>
        <v>698.2497505062823</v>
      </c>
      <c r="F72" s="3"/>
      <c r="G72" s="8"/>
      <c r="H72" s="3"/>
      <c r="I72" s="3"/>
      <c r="J72" s="3"/>
      <c r="K72" s="9"/>
      <c r="L72" s="10"/>
      <c r="M72" s="11"/>
      <c r="N72" s="8"/>
      <c r="O72" s="40"/>
      <c r="P72" s="39"/>
      <c r="Q72" s="39"/>
      <c r="R72" s="39"/>
      <c r="S72" s="39"/>
      <c r="T72" s="37"/>
      <c r="U72" s="38"/>
      <c r="V72" s="37"/>
      <c r="W72" s="37"/>
      <c r="X72" s="37"/>
      <c r="Z72" s="32"/>
      <c r="AB72" s="3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>
      <c r="A73" s="45">
        <v>12</v>
      </c>
      <c r="B73" s="31" t="s">
        <v>174</v>
      </c>
      <c r="C73" s="29">
        <f>+O$46</f>
        <v>61.15309868278989</v>
      </c>
      <c r="D73" s="13">
        <f>+O$55</f>
        <v>540.0126540819138</v>
      </c>
      <c r="E73" s="13">
        <f t="shared" si="12"/>
        <v>601.1657527647036</v>
      </c>
      <c r="F73" s="3"/>
      <c r="G73" s="8"/>
      <c r="H73" s="3"/>
      <c r="I73" s="3"/>
      <c r="J73" s="3"/>
      <c r="K73" s="9"/>
      <c r="L73" s="10"/>
      <c r="M73" s="11"/>
      <c r="N73" s="8"/>
      <c r="O73" s="40"/>
      <c r="P73" s="39"/>
      <c r="Q73" s="39"/>
      <c r="R73" s="39"/>
      <c r="S73" s="39"/>
      <c r="T73" s="37"/>
      <c r="U73" s="38"/>
      <c r="V73" s="37"/>
      <c r="W73" s="37"/>
      <c r="X73" s="37"/>
      <c r="Z73" s="32"/>
      <c r="AB73" s="3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>
      <c r="A74" s="45">
        <v>13</v>
      </c>
      <c r="B74" s="31" t="s">
        <v>136</v>
      </c>
      <c r="C74" s="29">
        <f>+O$45</f>
        <v>69.41703093722094</v>
      </c>
      <c r="D74" s="13">
        <f>+O$58</f>
        <v>93.4200768841917</v>
      </c>
      <c r="E74" s="13">
        <f t="shared" si="12"/>
        <v>162.83710782141264</v>
      </c>
      <c r="F74" s="3"/>
      <c r="G74" s="8"/>
      <c r="H74" s="3"/>
      <c r="I74" s="3"/>
      <c r="J74" s="3"/>
      <c r="K74" s="9"/>
      <c r="L74" s="10"/>
      <c r="M74" s="11"/>
      <c r="N74" s="8"/>
      <c r="O74" s="40"/>
      <c r="P74" s="39"/>
      <c r="Q74" s="39"/>
      <c r="R74" s="39"/>
      <c r="S74" s="39"/>
      <c r="T74" s="37"/>
      <c r="U74" s="38"/>
      <c r="V74" s="37"/>
      <c r="W74" s="37"/>
      <c r="X74" s="37"/>
      <c r="Z74" s="32"/>
      <c r="AB74" s="3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>
      <c r="A75" s="45">
        <v>14</v>
      </c>
      <c r="B75" s="31" t="s">
        <v>132</v>
      </c>
      <c r="C75" s="29">
        <f>+O$43</f>
        <v>107.78128592855433</v>
      </c>
      <c r="D75" s="5"/>
      <c r="E75" s="13">
        <f t="shared" si="12"/>
        <v>107.78128592855433</v>
      </c>
      <c r="F75" s="3"/>
      <c r="G75" s="8"/>
      <c r="H75" s="3"/>
      <c r="I75" s="3"/>
      <c r="J75" s="3"/>
      <c r="K75" s="9"/>
      <c r="L75" s="10"/>
      <c r="M75" s="11"/>
      <c r="N75" s="8"/>
      <c r="O75" s="40"/>
      <c r="P75" s="39"/>
      <c r="Q75" s="39"/>
      <c r="R75" s="39"/>
      <c r="S75" s="39"/>
      <c r="T75" s="37"/>
      <c r="U75" s="38"/>
      <c r="V75" s="37"/>
      <c r="W75" s="37"/>
      <c r="X75" s="37"/>
      <c r="Z75" s="32"/>
      <c r="AB75" s="3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>
      <c r="A76" s="45">
        <v>15</v>
      </c>
      <c r="B76" s="31" t="s">
        <v>125</v>
      </c>
      <c r="C76" s="29">
        <f>+O$44</f>
        <v>104.65429800346665</v>
      </c>
      <c r="E76" s="13">
        <f t="shared" si="12"/>
        <v>104.65429800346665</v>
      </c>
      <c r="F76" s="3"/>
      <c r="G76" s="8"/>
      <c r="H76" s="3"/>
      <c r="I76" s="3"/>
      <c r="J76" s="3"/>
      <c r="K76" s="9"/>
      <c r="L76" s="10"/>
      <c r="M76" s="11"/>
      <c r="N76" s="8"/>
      <c r="O76" s="40"/>
      <c r="P76" s="39"/>
      <c r="Q76" s="39"/>
      <c r="R76" s="39"/>
      <c r="S76" s="39"/>
      <c r="T76" s="37"/>
      <c r="U76" s="38"/>
      <c r="V76" s="37"/>
      <c r="W76" s="37"/>
      <c r="X76" s="37"/>
      <c r="Z76" s="32"/>
      <c r="AB76" s="3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>
      <c r="A77" s="45"/>
      <c r="B77" s="31"/>
      <c r="C77" s="29"/>
      <c r="E77" s="13"/>
      <c r="F77" s="3"/>
      <c r="G77" s="8"/>
      <c r="H77" s="3"/>
      <c r="I77" s="3"/>
      <c r="J77" s="3"/>
      <c r="K77" s="9"/>
      <c r="L77" s="10"/>
      <c r="M77" s="11"/>
      <c r="N77" s="8"/>
      <c r="O77" s="40"/>
      <c r="P77" s="39"/>
      <c r="Q77" s="39"/>
      <c r="R77" s="39"/>
      <c r="S77" s="39"/>
      <c r="T77" s="37"/>
      <c r="U77" s="38"/>
      <c r="V77" s="37"/>
      <c r="W77" s="37"/>
      <c r="X77" s="37"/>
      <c r="Z77" s="32"/>
      <c r="AB77" s="3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>
      <c r="A78" s="7">
        <v>39964</v>
      </c>
      <c r="B78" s="31" t="s">
        <v>190</v>
      </c>
      <c r="C78" s="31" t="s">
        <v>191</v>
      </c>
      <c r="D78" s="3">
        <v>0.885</v>
      </c>
      <c r="E78" s="3">
        <v>0</v>
      </c>
      <c r="F78" s="3">
        <v>103.83</v>
      </c>
      <c r="G78" s="8">
        <f aca="true" t="shared" si="13" ref="G78:G83">+(D78*(1-0.04*E78))*F78</f>
        <v>91.88955</v>
      </c>
      <c r="H78" s="3">
        <v>2</v>
      </c>
      <c r="I78" s="3">
        <v>12</v>
      </c>
      <c r="J78" s="3">
        <v>21</v>
      </c>
      <c r="K78" s="9">
        <v>47.07</v>
      </c>
      <c r="L78" s="10">
        <f>+K78*D78</f>
        <v>41.65695</v>
      </c>
      <c r="M78" s="11">
        <v>1</v>
      </c>
      <c r="N78" s="8">
        <f>+K78*D78*(1-0.04*E78)*(1+0.05*MAX(H78+I78/60+J78/3600-1,0))*(1+0.03*$M78)*(H78+I78/60+J78/3600)/(H78+I78/60+J78/3600+1/3)</f>
        <v>39.521327955565944</v>
      </c>
      <c r="O78" s="12">
        <f>1000*(N78/MAX(N$78:N$82))</f>
        <v>1000</v>
      </c>
      <c r="P78" s="39" t="s">
        <v>29</v>
      </c>
      <c r="Q78" s="39" t="s">
        <v>36</v>
      </c>
      <c r="R78" s="39" t="s">
        <v>188</v>
      </c>
      <c r="S78" s="39" t="s">
        <v>87</v>
      </c>
      <c r="T78" s="37" t="s">
        <v>189</v>
      </c>
      <c r="U78" s="37" t="s">
        <v>184</v>
      </c>
      <c r="V78" s="37"/>
      <c r="W78" s="37"/>
      <c r="X78" s="37"/>
      <c r="Y78" t="s">
        <v>29</v>
      </c>
      <c r="Z78" s="32"/>
      <c r="AB78" s="3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>
      <c r="A79" s="7"/>
      <c r="B79" s="31" t="s">
        <v>105</v>
      </c>
      <c r="C79" s="31" t="s">
        <v>101</v>
      </c>
      <c r="D79" s="3">
        <v>0.925</v>
      </c>
      <c r="E79" s="3">
        <v>0</v>
      </c>
      <c r="F79" s="3">
        <v>119.47</v>
      </c>
      <c r="G79" s="8">
        <f t="shared" si="13"/>
        <v>110.50975000000001</v>
      </c>
      <c r="H79" s="3">
        <v>2</v>
      </c>
      <c r="I79" s="3">
        <v>52</v>
      </c>
      <c r="J79" s="3">
        <v>34</v>
      </c>
      <c r="K79" s="9">
        <v>41.54</v>
      </c>
      <c r="L79" s="10">
        <f>+K79*D79</f>
        <v>38.4245</v>
      </c>
      <c r="M79" s="11">
        <v>1</v>
      </c>
      <c r="N79" s="8">
        <f>+K79*D79*(1-0.04*E79)*(1+0.05*MAX(H79+I79/60+J79/3600-1,0))*(1+0.03*$M79)*(H79+I79/60+J79/3600)/(H79+I79/60+J79/3600+1/3)</f>
        <v>38.79371509383145</v>
      </c>
      <c r="O79" s="12">
        <f>1000*(N79/MAX(N$78:N$82))</f>
        <v>981.5893620135298</v>
      </c>
      <c r="P79" s="39" t="s">
        <v>29</v>
      </c>
      <c r="Q79" s="39" t="s">
        <v>87</v>
      </c>
      <c r="R79" s="39" t="s">
        <v>188</v>
      </c>
      <c r="S79" s="39" t="s">
        <v>35</v>
      </c>
      <c r="T79" s="37" t="s">
        <v>36</v>
      </c>
      <c r="U79" s="37" t="s">
        <v>146</v>
      </c>
      <c r="V79" s="37"/>
      <c r="W79" s="37"/>
      <c r="X79" s="37"/>
      <c r="Y79" t="s">
        <v>29</v>
      </c>
      <c r="Z79" s="32"/>
      <c r="AB79" s="3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>
      <c r="A80" s="7"/>
      <c r="B80" s="31" t="s">
        <v>186</v>
      </c>
      <c r="C80" s="31" t="s">
        <v>187</v>
      </c>
      <c r="D80" s="3">
        <v>0.88</v>
      </c>
      <c r="E80" s="3">
        <v>1</v>
      </c>
      <c r="F80" s="3">
        <v>103.89</v>
      </c>
      <c r="G80" s="8">
        <f t="shared" si="13"/>
        <v>87.766272</v>
      </c>
      <c r="H80" s="3">
        <v>2</v>
      </c>
      <c r="I80" s="3">
        <v>8</v>
      </c>
      <c r="J80" s="3">
        <v>50</v>
      </c>
      <c r="K80" s="9">
        <v>48.38</v>
      </c>
      <c r="L80" s="10">
        <f>+K80*D80</f>
        <v>42.574400000000004</v>
      </c>
      <c r="M80" s="11">
        <v>1</v>
      </c>
      <c r="N80" s="8">
        <f>+K80*D80*(1-0.04*E80)*(1+0.05*MAX(H80+I80/60+J80/3600-1,0))*(1+0.03*$M80)*(H80+I80/60+J80/3600)/(H80+I80/60+J80/3600+1/3)</f>
        <v>38.53082982061487</v>
      </c>
      <c r="O80" s="12">
        <f>1000*(N80/MAX(N$78:N$82))</f>
        <v>974.937630231841</v>
      </c>
      <c r="P80" s="39" t="s">
        <v>29</v>
      </c>
      <c r="Q80" s="39" t="s">
        <v>36</v>
      </c>
      <c r="R80" s="39" t="s">
        <v>188</v>
      </c>
      <c r="S80" s="39" t="s">
        <v>35</v>
      </c>
      <c r="T80" s="37" t="s">
        <v>189</v>
      </c>
      <c r="U80" s="37" t="s">
        <v>36</v>
      </c>
      <c r="V80" s="37"/>
      <c r="W80" s="37"/>
      <c r="X80" s="37"/>
      <c r="Y80" t="s">
        <v>29</v>
      </c>
      <c r="Z80" s="32"/>
      <c r="AB80" s="3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>
      <c r="A81" s="7"/>
      <c r="B81" s="31" t="s">
        <v>118</v>
      </c>
      <c r="C81" s="31" t="s">
        <v>119</v>
      </c>
      <c r="D81" s="3">
        <v>0.939</v>
      </c>
      <c r="E81" s="3">
        <v>0</v>
      </c>
      <c r="F81" s="3">
        <v>88.68</v>
      </c>
      <c r="G81" s="8">
        <f t="shared" si="13"/>
        <v>83.27052</v>
      </c>
      <c r="H81" s="3">
        <v>2</v>
      </c>
      <c r="I81" s="3">
        <v>9</v>
      </c>
      <c r="J81" s="3">
        <v>19</v>
      </c>
      <c r="K81" s="9">
        <v>41.15</v>
      </c>
      <c r="L81" s="10">
        <f>+K81*D81</f>
        <v>38.639849999999996</v>
      </c>
      <c r="M81" s="11">
        <v>1</v>
      </c>
      <c r="N81" s="8">
        <f>+K81*D81*(1-0.04*E81)*(1+0.05*MAX(H81+I81/60+J81/3600-1,0))*(1+0.03*$M81)*(H81+I81/60+J81/3600)/(H81+I81/60+J81/3600+1/3)</f>
        <v>36.45923973545145</v>
      </c>
      <c r="O81" s="12">
        <f>1000*(N81/MAX(N$78:N$82))</f>
        <v>922.5206140958315</v>
      </c>
      <c r="P81" s="39" t="s">
        <v>142</v>
      </c>
      <c r="Q81" s="39" t="s">
        <v>193</v>
      </c>
      <c r="R81" s="39" t="s">
        <v>194</v>
      </c>
      <c r="S81" s="39" t="s">
        <v>87</v>
      </c>
      <c r="T81" s="37" t="s">
        <v>36</v>
      </c>
      <c r="U81" s="38"/>
      <c r="V81" s="37"/>
      <c r="W81" s="37"/>
      <c r="X81" s="37"/>
      <c r="Y81" t="s">
        <v>35</v>
      </c>
      <c r="Z81" s="32"/>
      <c r="AB81" s="3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>
      <c r="A82" s="7"/>
      <c r="B82" s="31" t="s">
        <v>192</v>
      </c>
      <c r="C82" s="31" t="s">
        <v>191</v>
      </c>
      <c r="D82" s="3">
        <v>0.885</v>
      </c>
      <c r="E82" s="3">
        <v>0</v>
      </c>
      <c r="F82" s="3">
        <v>107.37</v>
      </c>
      <c r="G82" s="8">
        <f t="shared" si="13"/>
        <v>95.02245</v>
      </c>
      <c r="H82" s="3">
        <v>2</v>
      </c>
      <c r="I82" s="3">
        <v>46</v>
      </c>
      <c r="J82" s="3">
        <v>53</v>
      </c>
      <c r="K82" s="9">
        <v>39.55</v>
      </c>
      <c r="L82" s="10">
        <f>+K82*D82</f>
        <v>35.00175</v>
      </c>
      <c r="M82" s="11">
        <v>1</v>
      </c>
      <c r="N82" s="8">
        <f>+K82*D82*(1-0.04*E82)*(1+0.05*MAX(H82+I82/60+J82/3600-1,0))*(1+0.03*$M82)*(H82+I82/60+J82/3600)/(H82+I82/60+J82/3600+1/3)</f>
        <v>35.06105262763907</v>
      </c>
      <c r="O82" s="12">
        <f>1000*(N82/MAX(N$78:N$82))</f>
        <v>887.1425744362238</v>
      </c>
      <c r="P82" s="39" t="s">
        <v>29</v>
      </c>
      <c r="Q82" s="39" t="s">
        <v>184</v>
      </c>
      <c r="R82" s="39" t="s">
        <v>145</v>
      </c>
      <c r="S82" s="39" t="s">
        <v>36</v>
      </c>
      <c r="T82" s="37" t="s">
        <v>86</v>
      </c>
      <c r="U82" s="37" t="s">
        <v>87</v>
      </c>
      <c r="V82" s="37" t="s">
        <v>188</v>
      </c>
      <c r="W82" s="37" t="s">
        <v>86</v>
      </c>
      <c r="X82" s="37" t="s">
        <v>36</v>
      </c>
      <c r="Y82" s="38" t="s">
        <v>29</v>
      </c>
      <c r="Z82" s="32"/>
      <c r="AB82" s="3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>
      <c r="A83" s="7"/>
      <c r="B83" s="31" t="s">
        <v>125</v>
      </c>
      <c r="C83" s="31" t="s">
        <v>115</v>
      </c>
      <c r="D83" s="3">
        <v>0.95</v>
      </c>
      <c r="E83" s="3">
        <v>0</v>
      </c>
      <c r="F83" s="3">
        <v>129.45</v>
      </c>
      <c r="G83" s="8">
        <f t="shared" si="13"/>
        <v>122.97749999999998</v>
      </c>
      <c r="H83" s="3"/>
      <c r="I83" s="3"/>
      <c r="J83" s="3"/>
      <c r="K83" s="9"/>
      <c r="L83" s="10"/>
      <c r="M83" s="11"/>
      <c r="N83" s="8"/>
      <c r="O83" s="40">
        <f>MIN(600*(G83/MAX(G$78:G$82)),1000)</f>
        <v>667.6922172025543</v>
      </c>
      <c r="P83" s="39" t="s">
        <v>142</v>
      </c>
      <c r="Q83" s="39" t="s">
        <v>88</v>
      </c>
      <c r="R83" s="39" t="s">
        <v>99</v>
      </c>
      <c r="S83" s="39" t="s">
        <v>86</v>
      </c>
      <c r="T83" s="37" t="s">
        <v>195</v>
      </c>
      <c r="U83" s="38"/>
      <c r="V83" s="37"/>
      <c r="W83" s="37"/>
      <c r="X83" s="37"/>
      <c r="Y83" t="s">
        <v>196</v>
      </c>
      <c r="Z83" s="32"/>
      <c r="AB83" s="3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>
      <c r="A84" s="45"/>
      <c r="B84" s="31"/>
      <c r="C84" s="29"/>
      <c r="E84" s="13"/>
      <c r="F84" s="5"/>
      <c r="G84" s="5"/>
      <c r="H84" s="5"/>
      <c r="I84" s="5"/>
      <c r="J84" s="3"/>
      <c r="K84" s="9"/>
      <c r="L84" s="5"/>
      <c r="M84" s="5"/>
      <c r="N84" s="5"/>
      <c r="O84" s="6"/>
      <c r="P84" s="5"/>
      <c r="Q84" s="5"/>
      <c r="R84" s="3"/>
      <c r="S84" s="3"/>
      <c r="T84" s="3"/>
      <c r="U84" s="3"/>
      <c r="V84" s="3"/>
      <c r="W84" s="3"/>
      <c r="X84" s="3"/>
      <c r="Y84" s="3"/>
      <c r="Z84" s="3"/>
      <c r="AA84" s="5"/>
      <c r="AB84" s="3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>
      <c r="A85" s="7">
        <v>39976</v>
      </c>
      <c r="B85" s="31" t="s">
        <v>114</v>
      </c>
      <c r="C85" s="29" t="s">
        <v>115</v>
      </c>
      <c r="D85">
        <v>0.95</v>
      </c>
      <c r="E85" s="13">
        <v>0</v>
      </c>
      <c r="F85" s="5">
        <v>174.34</v>
      </c>
      <c r="G85" s="8">
        <f aca="true" t="shared" si="14" ref="G85:G90">+(D85*(1-0.04*E85))*F85</f>
        <v>165.623</v>
      </c>
      <c r="H85" s="5">
        <v>3</v>
      </c>
      <c r="I85" s="5">
        <v>37</v>
      </c>
      <c r="J85" s="3">
        <v>21</v>
      </c>
      <c r="K85" s="9">
        <v>48.13</v>
      </c>
      <c r="L85" s="10">
        <f aca="true" t="shared" si="15" ref="L85:L90">+K85*D85</f>
        <v>45.7235</v>
      </c>
      <c r="M85" s="11">
        <v>1</v>
      </c>
      <c r="N85" s="8">
        <f aca="true" t="shared" si="16" ref="N85:N90">+K85*D85*(1-0.04*E85)*(1+0.05*MAX(H85+I85/60+J85/3600-1,0))*(1+0.03*$M85)*(H85+I85/60+J85/3600)/(H85+I85/60+J85/3600+1/3)</f>
        <v>48.781786527428245</v>
      </c>
      <c r="O85" s="12">
        <f aca="true" t="shared" si="17" ref="O85:O90">1000*(N85/MAX(N$85:N$90))</f>
        <v>1000</v>
      </c>
      <c r="P85" s="32" t="s">
        <v>195</v>
      </c>
      <c r="Q85" s="32" t="s">
        <v>205</v>
      </c>
      <c r="R85" s="27"/>
      <c r="S85" s="27"/>
      <c r="T85" s="27"/>
      <c r="U85" s="3"/>
      <c r="V85" s="3"/>
      <c r="W85" s="3"/>
      <c r="X85" s="3"/>
      <c r="Y85" s="31" t="s">
        <v>195</v>
      </c>
      <c r="Z85" s="3"/>
      <c r="AA85" s="5"/>
      <c r="AB85" s="3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>
      <c r="A86" s="45"/>
      <c r="B86" s="31" t="s">
        <v>200</v>
      </c>
      <c r="C86" s="29" t="s">
        <v>187</v>
      </c>
      <c r="D86">
        <v>0.88</v>
      </c>
      <c r="E86" s="13">
        <v>0</v>
      </c>
      <c r="F86" s="5">
        <v>111.59</v>
      </c>
      <c r="G86" s="8">
        <f t="shared" si="14"/>
        <v>98.1992</v>
      </c>
      <c r="H86" s="5">
        <v>2</v>
      </c>
      <c r="I86" s="5">
        <v>11</v>
      </c>
      <c r="J86" s="3">
        <v>33</v>
      </c>
      <c r="K86" s="9">
        <v>50.9</v>
      </c>
      <c r="L86" s="10">
        <f t="shared" si="15"/>
        <v>44.792</v>
      </c>
      <c r="M86" s="11">
        <v>1</v>
      </c>
      <c r="N86" s="8">
        <f t="shared" si="16"/>
        <v>42.43505672695151</v>
      </c>
      <c r="O86" s="12">
        <f t="shared" si="17"/>
        <v>869.8955029679325</v>
      </c>
      <c r="P86" s="30" t="s">
        <v>29</v>
      </c>
      <c r="Q86" s="30" t="s">
        <v>197</v>
      </c>
      <c r="R86" s="27" t="s">
        <v>68</v>
      </c>
      <c r="S86" s="27" t="s">
        <v>67</v>
      </c>
      <c r="T86" s="27" t="s">
        <v>146</v>
      </c>
      <c r="U86" s="27" t="s">
        <v>99</v>
      </c>
      <c r="V86" s="27" t="s">
        <v>67</v>
      </c>
      <c r="W86" s="3"/>
      <c r="X86" s="3"/>
      <c r="Y86" s="27" t="s">
        <v>29</v>
      </c>
      <c r="Z86" s="3"/>
      <c r="AA86" s="5"/>
      <c r="AB86" s="3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>
      <c r="A87" s="45"/>
      <c r="B87" s="31" t="s">
        <v>208</v>
      </c>
      <c r="C87" s="29" t="s">
        <v>215</v>
      </c>
      <c r="D87">
        <v>0.94</v>
      </c>
      <c r="E87" s="13">
        <v>0</v>
      </c>
      <c r="F87" s="5">
        <v>140.88</v>
      </c>
      <c r="G87" s="8">
        <f t="shared" si="14"/>
        <v>132.4272</v>
      </c>
      <c r="H87" s="5">
        <v>3</v>
      </c>
      <c r="I87" s="5">
        <v>16</v>
      </c>
      <c r="J87" s="3">
        <v>11</v>
      </c>
      <c r="K87" s="9">
        <v>43.09</v>
      </c>
      <c r="L87" s="10">
        <f t="shared" si="15"/>
        <v>40.5046</v>
      </c>
      <c r="M87" s="11">
        <v>1</v>
      </c>
      <c r="N87" s="8">
        <f t="shared" si="16"/>
        <v>42.1566679505089</v>
      </c>
      <c r="O87" s="12">
        <f t="shared" si="17"/>
        <v>864.1886849881097</v>
      </c>
      <c r="P87" s="30" t="s">
        <v>195</v>
      </c>
      <c r="Q87" s="30" t="s">
        <v>216</v>
      </c>
      <c r="R87" s="27"/>
      <c r="S87" s="27"/>
      <c r="T87" s="27"/>
      <c r="U87" s="3"/>
      <c r="V87" s="3"/>
      <c r="W87" s="3"/>
      <c r="X87" s="3"/>
      <c r="Y87" s="27" t="s">
        <v>195</v>
      </c>
      <c r="Z87" s="3"/>
      <c r="AA87" s="5"/>
      <c r="AB87" s="3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>
      <c r="A88" s="45"/>
      <c r="B88" s="31" t="s">
        <v>208</v>
      </c>
      <c r="C88" s="29" t="s">
        <v>215</v>
      </c>
      <c r="D88">
        <v>0.94</v>
      </c>
      <c r="E88" s="13">
        <v>0</v>
      </c>
      <c r="F88" s="5">
        <v>178.98</v>
      </c>
      <c r="G88" s="8">
        <f t="shared" si="14"/>
        <v>168.2412</v>
      </c>
      <c r="H88" s="5">
        <v>4</v>
      </c>
      <c r="I88" s="5">
        <v>30</v>
      </c>
      <c r="J88" s="3">
        <v>2</v>
      </c>
      <c r="K88" s="9">
        <v>39.77</v>
      </c>
      <c r="L88" s="10">
        <f t="shared" si="15"/>
        <v>37.3838</v>
      </c>
      <c r="M88" s="11">
        <v>1</v>
      </c>
      <c r="N88" s="8">
        <f t="shared" si="16"/>
        <v>42.12484019126447</v>
      </c>
      <c r="O88" s="12">
        <f t="shared" si="17"/>
        <v>863.5362332943503</v>
      </c>
      <c r="P88" s="30" t="s">
        <v>195</v>
      </c>
      <c r="Q88" s="30" t="s">
        <v>216</v>
      </c>
      <c r="R88" s="27" t="s">
        <v>195</v>
      </c>
      <c r="S88" s="27" t="s">
        <v>88</v>
      </c>
      <c r="T88" s="27"/>
      <c r="U88" s="3"/>
      <c r="V88" s="3"/>
      <c r="W88" s="3"/>
      <c r="X88" s="3"/>
      <c r="Y88" s="27" t="s">
        <v>195</v>
      </c>
      <c r="Z88" s="3"/>
      <c r="AA88" s="5"/>
      <c r="AB88" s="3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>
      <c r="A89" s="45"/>
      <c r="B89" s="31" t="s">
        <v>198</v>
      </c>
      <c r="C89" s="29" t="s">
        <v>199</v>
      </c>
      <c r="D89">
        <v>0.855</v>
      </c>
      <c r="E89" s="13">
        <v>0</v>
      </c>
      <c r="F89" s="5">
        <v>112.3</v>
      </c>
      <c r="G89" s="8">
        <f t="shared" si="14"/>
        <v>96.0165</v>
      </c>
      <c r="H89" s="5">
        <v>2</v>
      </c>
      <c r="I89" s="5">
        <v>38</v>
      </c>
      <c r="J89" s="3">
        <v>11</v>
      </c>
      <c r="K89" s="9">
        <f>F89/(H89+I89/60+J89/3600)</f>
        <v>42.59614371509851</v>
      </c>
      <c r="L89" s="10">
        <f t="shared" si="15"/>
        <v>36.419702876409225</v>
      </c>
      <c r="M89" s="11">
        <v>1</v>
      </c>
      <c r="N89" s="8">
        <f t="shared" si="16"/>
        <v>36.02649816455429</v>
      </c>
      <c r="O89" s="12">
        <f t="shared" si="17"/>
        <v>738.5235500610024</v>
      </c>
      <c r="P89" s="30" t="s">
        <v>29</v>
      </c>
      <c r="Q89" s="30" t="s">
        <v>197</v>
      </c>
      <c r="R89" s="27" t="s">
        <v>68</v>
      </c>
      <c r="S89" s="27" t="s">
        <v>67</v>
      </c>
      <c r="T89" s="27" t="s">
        <v>146</v>
      </c>
      <c r="U89" s="27" t="s">
        <v>99</v>
      </c>
      <c r="V89" s="27" t="s">
        <v>145</v>
      </c>
      <c r="W89" s="27" t="s">
        <v>67</v>
      </c>
      <c r="X89" s="3"/>
      <c r="Y89" s="27" t="s">
        <v>29</v>
      </c>
      <c r="Z89" s="3"/>
      <c r="AA89" s="5"/>
      <c r="AB89" s="3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>
      <c r="A90" s="45"/>
      <c r="B90" s="31" t="s">
        <v>192</v>
      </c>
      <c r="C90" s="29" t="s">
        <v>191</v>
      </c>
      <c r="D90">
        <v>0.885</v>
      </c>
      <c r="E90" s="13">
        <v>0</v>
      </c>
      <c r="F90" s="5">
        <v>67.23</v>
      </c>
      <c r="G90" s="8">
        <f t="shared" si="14"/>
        <v>59.49855</v>
      </c>
      <c r="H90" s="5">
        <v>1</v>
      </c>
      <c r="I90" s="5">
        <v>35</v>
      </c>
      <c r="J90" s="3">
        <v>9</v>
      </c>
      <c r="K90" s="9">
        <v>42.4</v>
      </c>
      <c r="L90" s="10">
        <f t="shared" si="15"/>
        <v>37.524</v>
      </c>
      <c r="M90" s="11">
        <v>1</v>
      </c>
      <c r="N90" s="8">
        <f t="shared" si="16"/>
        <v>32.87226724387539</v>
      </c>
      <c r="O90" s="12">
        <f t="shared" si="17"/>
        <v>673.8635376831165</v>
      </c>
      <c r="P90" s="30" t="s">
        <v>29</v>
      </c>
      <c r="Q90" s="30" t="s">
        <v>197</v>
      </c>
      <c r="R90" s="27" t="s">
        <v>68</v>
      </c>
      <c r="S90" s="27" t="s">
        <v>67</v>
      </c>
      <c r="T90" s="27" t="s">
        <v>146</v>
      </c>
      <c r="U90" s="3"/>
      <c r="V90" s="3"/>
      <c r="W90" s="3"/>
      <c r="X90" s="3"/>
      <c r="Y90" s="27" t="s">
        <v>29</v>
      </c>
      <c r="Z90" s="3"/>
      <c r="AA90" s="5"/>
      <c r="AB90" s="3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>
      <c r="A91" s="45"/>
      <c r="B91" s="31"/>
      <c r="C91" s="29"/>
      <c r="E91" s="13"/>
      <c r="F91" s="5"/>
      <c r="G91" s="5"/>
      <c r="H91" s="5"/>
      <c r="I91" s="5"/>
      <c r="J91" s="3"/>
      <c r="K91" s="9"/>
      <c r="L91" s="5"/>
      <c r="M91" s="5"/>
      <c r="N91" s="5"/>
      <c r="O91" s="6"/>
      <c r="P91" s="5"/>
      <c r="Q91" s="5"/>
      <c r="R91" s="3"/>
      <c r="S91" s="3"/>
      <c r="T91" s="3"/>
      <c r="U91" s="3"/>
      <c r="V91" s="3"/>
      <c r="W91" s="3"/>
      <c r="X91" s="3"/>
      <c r="Y91" s="3"/>
      <c r="Z91" s="3"/>
      <c r="AA91" s="5"/>
      <c r="AB91" s="3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>
      <c r="A92" s="7">
        <v>39978</v>
      </c>
      <c r="B92" s="31" t="s">
        <v>105</v>
      </c>
      <c r="C92" s="29" t="s">
        <v>101</v>
      </c>
      <c r="D92">
        <v>0.925</v>
      </c>
      <c r="E92" s="13">
        <v>0</v>
      </c>
      <c r="F92" s="5">
        <v>137.75</v>
      </c>
      <c r="G92" s="8">
        <f>+(D92*(1-0.04*E92))*F92</f>
        <v>127.41875</v>
      </c>
      <c r="H92" s="5">
        <v>2</v>
      </c>
      <c r="I92" s="5">
        <v>43</v>
      </c>
      <c r="J92" s="3">
        <v>7</v>
      </c>
      <c r="K92" s="9">
        <v>50.67</v>
      </c>
      <c r="L92" s="10">
        <f>+K92*D92</f>
        <v>46.86975</v>
      </c>
      <c r="M92" s="11">
        <v>1</v>
      </c>
      <c r="N92" s="8">
        <f>+K92*D92*(1-0.04*E92)*(1+0.05*MAX(H92+I92/60+J92/3600-1,0))*(1+0.03*$M92)*(H92+I92/60+J92/3600)/(H92+I92/60+J92/3600+1/3)</f>
        <v>46.698440648414525</v>
      </c>
      <c r="O92" s="12">
        <f>1000*(N92/MAX(N$92:N$94))</f>
        <v>1000</v>
      </c>
      <c r="P92" s="30" t="s">
        <v>29</v>
      </c>
      <c r="Q92" s="30" t="s">
        <v>86</v>
      </c>
      <c r="R92" s="27" t="s">
        <v>201</v>
      </c>
      <c r="S92" s="27" t="s">
        <v>96</v>
      </c>
      <c r="T92" s="27" t="s">
        <v>165</v>
      </c>
      <c r="U92" s="27" t="s">
        <v>86</v>
      </c>
      <c r="V92" s="27" t="s">
        <v>36</v>
      </c>
      <c r="W92" s="27" t="s">
        <v>202</v>
      </c>
      <c r="X92" s="27" t="s">
        <v>99</v>
      </c>
      <c r="Y92" s="27" t="s">
        <v>29</v>
      </c>
      <c r="Z92" s="3"/>
      <c r="AA92" s="5"/>
      <c r="AB92" s="3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>
      <c r="A93" s="45"/>
      <c r="B93" s="31" t="s">
        <v>192</v>
      </c>
      <c r="C93" s="29" t="s">
        <v>203</v>
      </c>
      <c r="D93">
        <v>0.885</v>
      </c>
      <c r="E93" s="13">
        <v>0</v>
      </c>
      <c r="F93" s="5">
        <v>93.39</v>
      </c>
      <c r="G93" s="8">
        <f>+(D93*(1-0.04*E93))*F93</f>
        <v>82.65015</v>
      </c>
      <c r="H93" s="5">
        <v>1</v>
      </c>
      <c r="I93" s="5">
        <v>50</v>
      </c>
      <c r="J93" s="3">
        <v>59</v>
      </c>
      <c r="K93" s="9">
        <v>50.49</v>
      </c>
      <c r="L93" s="10">
        <f>+K93*D93</f>
        <v>44.68365</v>
      </c>
      <c r="M93" s="11">
        <v>1</v>
      </c>
      <c r="N93" s="8">
        <f>+K93*D93*(1-0.04*E93)*(1+0.05*MAX(H93+I93/60+J93/3600-1,0))*(1+0.03*$M93)*(H93+I93/60+J93/3600)/(H93+I93/60+J93/3600+1/3)</f>
        <v>40.653493298723376</v>
      </c>
      <c r="O93" s="12">
        <f>1000*(N93/MAX(N$92:N$94))</f>
        <v>870.5535502737096</v>
      </c>
      <c r="P93" s="32" t="s">
        <v>29</v>
      </c>
      <c r="Q93" s="32" t="s">
        <v>96</v>
      </c>
      <c r="R93" s="31" t="s">
        <v>165</v>
      </c>
      <c r="S93" s="31" t="s">
        <v>86</v>
      </c>
      <c r="T93" s="31" t="s">
        <v>204</v>
      </c>
      <c r="U93" s="3"/>
      <c r="V93" s="3"/>
      <c r="W93" s="3"/>
      <c r="X93" s="3"/>
      <c r="Y93" s="31" t="s">
        <v>29</v>
      </c>
      <c r="Z93" s="3"/>
      <c r="AA93" s="5"/>
      <c r="AB93" s="3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>
      <c r="A94" s="45"/>
      <c r="B94" s="31" t="s">
        <v>153</v>
      </c>
      <c r="C94" s="29" t="s">
        <v>122</v>
      </c>
      <c r="D94">
        <v>0.94</v>
      </c>
      <c r="E94" s="13">
        <v>0</v>
      </c>
      <c r="F94" s="5">
        <v>83.4</v>
      </c>
      <c r="G94" s="8">
        <f>+(D94*(1-0.04*E94))*F94</f>
        <v>78.396</v>
      </c>
      <c r="H94" s="5">
        <v>1</v>
      </c>
      <c r="I94" s="5">
        <v>45</v>
      </c>
      <c r="J94" s="3">
        <v>5</v>
      </c>
      <c r="K94" s="9">
        <v>47.62</v>
      </c>
      <c r="L94" s="10">
        <f>+K94*D94</f>
        <v>44.7628</v>
      </c>
      <c r="M94" s="11">
        <v>1</v>
      </c>
      <c r="N94" s="8">
        <f>+K94*D94*(1-0.04*E94)*(1+0.05*MAX(H94+I94/60+J94/3600-1,0))*(1+0.03*$M94)*(H94+I94/60+J94/3600)/(H94+I94/60+J94/3600+1/3)</f>
        <v>40.18889240858336</v>
      </c>
      <c r="O94" s="12">
        <f>1000*(N94/MAX(N$92:N$94))</f>
        <v>860.6045908718758</v>
      </c>
      <c r="P94" s="30" t="s">
        <v>29</v>
      </c>
      <c r="Q94" s="30" t="s">
        <v>99</v>
      </c>
      <c r="R94" s="27" t="s">
        <v>36</v>
      </c>
      <c r="S94" s="27" t="s">
        <v>164</v>
      </c>
      <c r="T94" s="3"/>
      <c r="Y94" s="3" t="s">
        <v>29</v>
      </c>
      <c r="Z94" s="3"/>
      <c r="AA94" s="5"/>
      <c r="AB94" s="3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>
      <c r="A95" s="45"/>
      <c r="B95" s="46"/>
      <c r="C95" s="29"/>
      <c r="E95" s="13"/>
      <c r="F95" s="5"/>
      <c r="G95" s="5"/>
      <c r="H95" s="5"/>
      <c r="I95" s="5"/>
      <c r="J95" s="3"/>
      <c r="K95" s="9"/>
      <c r="L95" s="5"/>
      <c r="M95" s="5"/>
      <c r="N95" s="5"/>
      <c r="O95" s="6"/>
      <c r="P95" s="5"/>
      <c r="Q95" s="5"/>
      <c r="R95" s="3"/>
      <c r="S95" s="3"/>
      <c r="T95" s="3"/>
      <c r="U95" s="3"/>
      <c r="V95" s="3"/>
      <c r="W95" s="3"/>
      <c r="X95" s="3"/>
      <c r="Y95" s="3"/>
      <c r="Z95" s="3"/>
      <c r="AA95" s="5"/>
      <c r="AB95" s="3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>
      <c r="A96" s="36">
        <v>39984</v>
      </c>
      <c r="B96" s="31" t="s">
        <v>105</v>
      </c>
      <c r="C96" s="29" t="s">
        <v>101</v>
      </c>
      <c r="D96">
        <v>0.925</v>
      </c>
      <c r="E96" s="13">
        <v>0</v>
      </c>
      <c r="F96" s="5">
        <v>158.2</v>
      </c>
      <c r="G96" s="8">
        <f aca="true" t="shared" si="18" ref="G96:G101">+(D96*(1-0.04*E96))*F96</f>
        <v>146.335</v>
      </c>
      <c r="H96" s="5">
        <v>3</v>
      </c>
      <c r="I96" s="5">
        <v>10</v>
      </c>
      <c r="J96" s="3">
        <v>27</v>
      </c>
      <c r="K96" s="9">
        <v>49.84</v>
      </c>
      <c r="L96" s="10">
        <f aca="true" t="shared" si="19" ref="L96:L101">+K96*D96</f>
        <v>46.102000000000004</v>
      </c>
      <c r="M96" s="11">
        <v>1</v>
      </c>
      <c r="N96" s="8">
        <f>+K96*D96*(1-0.04*E96)*(1+0.05*MAX(H96+I96/60+J96/3600-1,0))*(1+0.03*$M96)*(H96+I96/60+J96/3600)/(H96+I96/60+J96/3600+1/3)</f>
        <v>47.64379527506395</v>
      </c>
      <c r="O96" s="12">
        <f>1000*(N96/MAX(N$96:N$100))</f>
        <v>1000</v>
      </c>
      <c r="P96" s="32" t="s">
        <v>29</v>
      </c>
      <c r="Q96" s="32" t="s">
        <v>96</v>
      </c>
      <c r="R96" s="32" t="s">
        <v>206</v>
      </c>
      <c r="S96" s="32" t="s">
        <v>36</v>
      </c>
      <c r="T96" s="5"/>
      <c r="U96" s="5"/>
      <c r="V96" s="5"/>
      <c r="W96" s="5"/>
      <c r="X96" s="5"/>
      <c r="Y96" s="32" t="s">
        <v>29</v>
      </c>
      <c r="Z96" s="37" t="s">
        <v>207</v>
      </c>
      <c r="AA96" s="5"/>
      <c r="AB96" s="3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>
      <c r="A97" s="45"/>
      <c r="B97" s="31" t="s">
        <v>118</v>
      </c>
      <c r="C97" s="29" t="s">
        <v>213</v>
      </c>
      <c r="D97">
        <v>0.939</v>
      </c>
      <c r="E97" s="13">
        <v>0</v>
      </c>
      <c r="F97" s="5">
        <v>104.22</v>
      </c>
      <c r="G97" s="8">
        <f t="shared" si="18"/>
        <v>97.86258</v>
      </c>
      <c r="H97" s="5">
        <v>2</v>
      </c>
      <c r="I97" s="5">
        <v>25</v>
      </c>
      <c r="J97" s="3">
        <v>55</v>
      </c>
      <c r="K97" s="9">
        <v>42.85</v>
      </c>
      <c r="L97" s="10">
        <f t="shared" si="19"/>
        <v>40.23615</v>
      </c>
      <c r="M97" s="11">
        <v>0</v>
      </c>
      <c r="N97" s="8">
        <f>+K97*D97*(1-0.04*E97)*(1+0.05*MAX(H97+I97/60+J97/3600-1,0))*(1+0.03*$M97)*(H97+I97/60+J97/3600)/(H97+I97/60+J97/3600+1/3)</f>
        <v>37.91952458522205</v>
      </c>
      <c r="O97" s="12">
        <f>1000*(N97/MAX(N$96:N$99))</f>
        <v>795.8963883187652</v>
      </c>
      <c r="P97" s="30" t="s">
        <v>35</v>
      </c>
      <c r="Q97" s="30" t="s">
        <v>93</v>
      </c>
      <c r="R97" s="30" t="s">
        <v>214</v>
      </c>
      <c r="S97" s="30" t="s">
        <v>36</v>
      </c>
      <c r="T97" s="30" t="s">
        <v>88</v>
      </c>
      <c r="U97" s="30" t="s">
        <v>87</v>
      </c>
      <c r="V97" s="5"/>
      <c r="W97" s="5"/>
      <c r="X97" s="5"/>
      <c r="Y97" s="30" t="s">
        <v>35</v>
      </c>
      <c r="Z97" s="3"/>
      <c r="AA97" s="5"/>
      <c r="AB97" s="3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>
      <c r="A98" s="45"/>
      <c r="B98" s="31" t="s">
        <v>198</v>
      </c>
      <c r="C98" s="29" t="s">
        <v>95</v>
      </c>
      <c r="D98">
        <v>0.855</v>
      </c>
      <c r="E98" s="13">
        <v>0</v>
      </c>
      <c r="F98" s="5">
        <v>125.17</v>
      </c>
      <c r="G98" s="8">
        <f t="shared" si="18"/>
        <v>107.02035</v>
      </c>
      <c r="H98" s="5">
        <v>3</v>
      </c>
      <c r="I98" s="5">
        <v>23</v>
      </c>
      <c r="J98" s="3">
        <v>45</v>
      </c>
      <c r="K98" s="9">
        <v>36.86</v>
      </c>
      <c r="L98" s="10">
        <f t="shared" si="19"/>
        <v>31.5153</v>
      </c>
      <c r="M98" s="11">
        <v>1</v>
      </c>
      <c r="N98" s="8">
        <f>+K98*D98*(1-0.04*E98)*(1+0.05*MAX(H98+I98/60+J98/3600-1,0))*(1+0.03*$M98)*(H98+I98/60+J98/3600)/(H98+I98/60+J98/3600+1/3)</f>
        <v>33.1001891048359</v>
      </c>
      <c r="O98" s="12">
        <f>1000*(N98/MAX(N$96:N$99))</f>
        <v>694.7429127704283</v>
      </c>
      <c r="P98" s="30" t="s">
        <v>29</v>
      </c>
      <c r="Q98" s="30" t="s">
        <v>96</v>
      </c>
      <c r="R98" s="30" t="s">
        <v>206</v>
      </c>
      <c r="S98" s="30" t="s">
        <v>36</v>
      </c>
      <c r="T98" s="5"/>
      <c r="U98" s="5"/>
      <c r="V98" s="5"/>
      <c r="W98" s="5"/>
      <c r="X98" s="5"/>
      <c r="Y98" s="30" t="s">
        <v>29</v>
      </c>
      <c r="Z98" s="37" t="s">
        <v>207</v>
      </c>
      <c r="AA98" s="5"/>
      <c r="AB98" s="3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>
      <c r="A99" s="45"/>
      <c r="B99" s="31" t="s">
        <v>186</v>
      </c>
      <c r="C99" s="29" t="s">
        <v>66</v>
      </c>
      <c r="D99">
        <v>0.88</v>
      </c>
      <c r="E99" s="13">
        <v>0</v>
      </c>
      <c r="F99" s="5">
        <v>70.92</v>
      </c>
      <c r="G99" s="8">
        <f t="shared" si="18"/>
        <v>62.409600000000005</v>
      </c>
      <c r="H99" s="5">
        <v>2</v>
      </c>
      <c r="I99" s="5">
        <v>11</v>
      </c>
      <c r="J99" s="3">
        <v>13</v>
      </c>
      <c r="K99" s="9">
        <v>32.43</v>
      </c>
      <c r="L99" s="10">
        <f t="shared" si="19"/>
        <v>28.5384</v>
      </c>
      <c r="M99" s="11">
        <v>0</v>
      </c>
      <c r="N99" s="8">
        <f>+K99*D99*(1-0.04*E99)*(1+0.05*MAX(H99+I99/60+J99/3600-1,0))*(1+0.03*$M99)*(H99+I99/60+J99/3600)/(H99+I99/60+J99/3600+1/3)</f>
        <v>26.23356383092325</v>
      </c>
      <c r="O99" s="12">
        <f>1000*(N99/MAX(N$96:N$99))</f>
        <v>550.6186834921084</v>
      </c>
      <c r="P99" s="30" t="s">
        <v>29</v>
      </c>
      <c r="Q99" s="30" t="s">
        <v>96</v>
      </c>
      <c r="R99" s="5"/>
      <c r="S99" s="5"/>
      <c r="T99" s="5"/>
      <c r="U99" s="5"/>
      <c r="V99" s="5"/>
      <c r="W99" s="5"/>
      <c r="X99" s="5"/>
      <c r="Y99" s="5"/>
      <c r="Z99" s="3"/>
      <c r="AA99" s="5"/>
      <c r="AB99" s="3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>
      <c r="A100" s="45"/>
      <c r="B100" s="31" t="s">
        <v>217</v>
      </c>
      <c r="C100" s="29" t="s">
        <v>122</v>
      </c>
      <c r="D100">
        <v>0.94</v>
      </c>
      <c r="E100" s="13">
        <v>0</v>
      </c>
      <c r="F100" s="5">
        <v>73.79</v>
      </c>
      <c r="G100" s="8">
        <f t="shared" si="18"/>
        <v>69.3626</v>
      </c>
      <c r="H100" s="5">
        <v>2</v>
      </c>
      <c r="I100" s="5">
        <v>19</v>
      </c>
      <c r="J100" s="3">
        <v>59</v>
      </c>
      <c r="K100" s="9">
        <v>27.34</v>
      </c>
      <c r="L100" s="10">
        <f t="shared" si="19"/>
        <v>25.699599999999997</v>
      </c>
      <c r="M100" s="11">
        <v>0</v>
      </c>
      <c r="N100" s="8">
        <f>+K100*D100*(1-0.04*E100)*(1+0.05*MAX(H100+I100/60+J100/3600-1,0))*(1+0.03*$M100)*(H100+I100/60+J100/3600)/(H100+I100/60+J100/3600+1/3)</f>
        <v>23.98562404037978</v>
      </c>
      <c r="O100" s="12">
        <f>1000*(N100/MAX(N$96:N$99))</f>
        <v>503.4364685244438</v>
      </c>
      <c r="P100" s="30" t="s">
        <v>35</v>
      </c>
      <c r="Q100" s="30" t="s">
        <v>88</v>
      </c>
      <c r="R100" s="30" t="s">
        <v>86</v>
      </c>
      <c r="S100" s="30" t="s">
        <v>96</v>
      </c>
      <c r="T100" s="30"/>
      <c r="U100" s="30"/>
      <c r="V100" s="5"/>
      <c r="W100" s="5"/>
      <c r="X100" s="5"/>
      <c r="Y100" s="30" t="s">
        <v>35</v>
      </c>
      <c r="Z100" s="3"/>
      <c r="AA100" s="5"/>
      <c r="AB100" s="3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>
      <c r="A101" s="45"/>
      <c r="B101" s="31" t="s">
        <v>212</v>
      </c>
      <c r="C101" s="29" t="s">
        <v>66</v>
      </c>
      <c r="D101">
        <v>0.88</v>
      </c>
      <c r="E101" s="13">
        <v>0</v>
      </c>
      <c r="F101" s="5">
        <v>113.85</v>
      </c>
      <c r="G101" s="8">
        <f t="shared" si="18"/>
        <v>100.188</v>
      </c>
      <c r="H101" s="5">
        <v>2</v>
      </c>
      <c r="I101" s="5">
        <v>11</v>
      </c>
      <c r="J101" s="3">
        <v>13</v>
      </c>
      <c r="K101" s="9">
        <v>52.06</v>
      </c>
      <c r="L101" s="10">
        <f t="shared" si="19"/>
        <v>45.8128</v>
      </c>
      <c r="M101" s="11">
        <v>1</v>
      </c>
      <c r="N101" s="5"/>
      <c r="O101" s="40">
        <f>MIN(600*(G101/MAX(G$96:G$100)),1000)</f>
        <v>410.7889431783237</v>
      </c>
      <c r="P101" s="30" t="s">
        <v>29</v>
      </c>
      <c r="Q101" s="30" t="s">
        <v>96</v>
      </c>
      <c r="R101" s="32" t="s">
        <v>206</v>
      </c>
      <c r="S101" s="5"/>
      <c r="T101" s="5"/>
      <c r="U101" s="5"/>
      <c r="V101" s="5"/>
      <c r="W101" s="5"/>
      <c r="X101" s="5"/>
      <c r="Y101" s="30" t="s">
        <v>29</v>
      </c>
      <c r="Z101" s="37" t="s">
        <v>254</v>
      </c>
      <c r="AA101" s="5"/>
      <c r="AB101" s="3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>
      <c r="A102" s="45"/>
      <c r="B102" s="31"/>
      <c r="C102" s="29"/>
      <c r="E102" s="13"/>
      <c r="F102" s="5"/>
      <c r="G102" s="5"/>
      <c r="H102" s="5"/>
      <c r="I102" s="5"/>
      <c r="J102" s="3"/>
      <c r="K102" s="9"/>
      <c r="L102" s="5"/>
      <c r="M102" s="5"/>
      <c r="N102" s="5"/>
      <c r="O102" s="6"/>
      <c r="P102" s="5"/>
      <c r="Q102" s="5"/>
      <c r="R102" s="3"/>
      <c r="S102" s="3"/>
      <c r="T102" s="3"/>
      <c r="U102" s="3"/>
      <c r="V102" s="3"/>
      <c r="W102" s="3"/>
      <c r="X102" s="3"/>
      <c r="Y102" s="3"/>
      <c r="Z102" s="3"/>
      <c r="AA102" s="5"/>
      <c r="AB102" s="3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>
      <c r="A103" s="7">
        <v>40019</v>
      </c>
      <c r="B103" s="31" t="s">
        <v>186</v>
      </c>
      <c r="C103" s="29" t="s">
        <v>66</v>
      </c>
      <c r="D103">
        <v>0.88</v>
      </c>
      <c r="E103" s="13">
        <v>1</v>
      </c>
      <c r="F103" s="5">
        <v>97.82</v>
      </c>
      <c r="G103" s="8">
        <f>+(D103*(1-0.04*E103))*F103</f>
        <v>82.638336</v>
      </c>
      <c r="H103" s="5">
        <v>2</v>
      </c>
      <c r="I103" s="5">
        <v>8</v>
      </c>
      <c r="J103" s="3">
        <v>16</v>
      </c>
      <c r="K103" s="9">
        <v>45.76</v>
      </c>
      <c r="L103" s="10">
        <f>+K103*D103</f>
        <v>40.2688</v>
      </c>
      <c r="M103" s="11">
        <v>1</v>
      </c>
      <c r="N103" s="8">
        <f>+K103*D103*(1-0.04*E103)*(1+0.05*MAX(H103+I103/60+J103/3600-1,0))*(1+0.03*$M103)*(H103+I103/60+J103/3600)/(H103+I103/60+J103/3600+1/3)</f>
        <v>36.406318370649025</v>
      </c>
      <c r="O103" s="12">
        <f>1000*(N103/MAX(N$103:N$105))-54</f>
        <v>946</v>
      </c>
      <c r="P103" s="30" t="s">
        <v>29</v>
      </c>
      <c r="Q103" s="30" t="s">
        <v>96</v>
      </c>
      <c r="R103" s="27" t="s">
        <v>146</v>
      </c>
      <c r="S103" s="27" t="s">
        <v>68</v>
      </c>
      <c r="T103" s="3"/>
      <c r="U103" s="3"/>
      <c r="V103" s="3"/>
      <c r="W103" s="3"/>
      <c r="X103" s="3"/>
      <c r="Y103" s="27" t="s">
        <v>29</v>
      </c>
      <c r="Z103" s="30" t="s">
        <v>218</v>
      </c>
      <c r="AA103" s="5"/>
      <c r="AB103" s="3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>
      <c r="A104" s="7"/>
      <c r="B104" s="31" t="s">
        <v>186</v>
      </c>
      <c r="C104" s="29" t="s">
        <v>66</v>
      </c>
      <c r="D104">
        <v>0.88</v>
      </c>
      <c r="E104" s="13">
        <v>1</v>
      </c>
      <c r="F104" s="5">
        <v>90.48</v>
      </c>
      <c r="G104" s="8">
        <f>+(D104*(1-0.04*E104))*F104</f>
        <v>76.437504</v>
      </c>
      <c r="H104" s="5">
        <v>2</v>
      </c>
      <c r="I104" s="5">
        <v>8</v>
      </c>
      <c r="J104" s="3">
        <v>16</v>
      </c>
      <c r="K104" s="9">
        <v>42.32</v>
      </c>
      <c r="L104" s="10">
        <f>+K104*D104</f>
        <v>37.2416</v>
      </c>
      <c r="M104" s="11">
        <v>1</v>
      </c>
      <c r="N104" s="8">
        <f>+K104*D104*(1-0.04*E104)*(1+0.05*MAX(H104+I104/60+J104/3600-1,0))*(1+0.03*$M104)*(H104+I104/60+J104/3600)/(H104+I104/60+J104/3600+1/3)</f>
        <v>33.669479751876445</v>
      </c>
      <c r="O104" s="12">
        <f>1000*(N104/MAX(N$103:N$105))</f>
        <v>924.8251748251745</v>
      </c>
      <c r="P104" s="32" t="s">
        <v>29</v>
      </c>
      <c r="Q104" s="32" t="s">
        <v>96</v>
      </c>
      <c r="R104" s="31" t="s">
        <v>146</v>
      </c>
      <c r="S104" s="27"/>
      <c r="T104" s="3"/>
      <c r="U104" s="3"/>
      <c r="V104" s="3"/>
      <c r="W104" s="3"/>
      <c r="X104" s="3"/>
      <c r="Y104" s="31" t="s">
        <v>29</v>
      </c>
      <c r="Z104" s="30"/>
      <c r="AA104" s="5"/>
      <c r="AB104" s="3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>
      <c r="A105" s="45"/>
      <c r="B105" s="31" t="s">
        <v>105</v>
      </c>
      <c r="C105" s="29" t="s">
        <v>101</v>
      </c>
      <c r="D105">
        <v>0.925</v>
      </c>
      <c r="E105" s="13">
        <v>0</v>
      </c>
      <c r="F105" s="5">
        <v>80.79</v>
      </c>
      <c r="G105" s="8">
        <f>+(D105*(1-0.04*E105))*F105</f>
        <v>74.73075000000001</v>
      </c>
      <c r="H105" s="5">
        <v>2</v>
      </c>
      <c r="I105" s="5">
        <v>29</v>
      </c>
      <c r="J105" s="3">
        <v>54</v>
      </c>
      <c r="K105" s="9">
        <v>32.34</v>
      </c>
      <c r="L105" s="10">
        <f>+K105*D105</f>
        <v>29.914500000000004</v>
      </c>
      <c r="M105" s="11">
        <v>1</v>
      </c>
      <c r="N105" s="8">
        <f>+K105*D105*(1-0.04*E105)*(1+0.05*MAX(H105+I105/60+J105/3600-1,0))*(1+0.03*$M105)*(H105+I105/60+J105/3600)/(H105+I105/60+J105/3600+1/3)</f>
        <v>29.221467588676433</v>
      </c>
      <c r="O105" s="12">
        <f>1000*(N105/MAX(N$103:N$105))</f>
        <v>802.6482461416626</v>
      </c>
      <c r="P105" s="30" t="s">
        <v>29</v>
      </c>
      <c r="Q105" s="30" t="s">
        <v>36</v>
      </c>
      <c r="R105" s="27" t="s">
        <v>145</v>
      </c>
      <c r="S105" s="27" t="s">
        <v>67</v>
      </c>
      <c r="T105" s="27" t="s">
        <v>146</v>
      </c>
      <c r="U105" s="27" t="s">
        <v>68</v>
      </c>
      <c r="V105" s="3"/>
      <c r="W105" s="3"/>
      <c r="X105" s="3"/>
      <c r="Y105" s="27" t="s">
        <v>29</v>
      </c>
      <c r="Z105" s="3"/>
      <c r="AA105" s="5"/>
      <c r="AB105" s="3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>
      <c r="A106" s="45"/>
      <c r="B106" s="31" t="s">
        <v>32</v>
      </c>
      <c r="C106" s="29" t="s">
        <v>95</v>
      </c>
      <c r="D106">
        <v>0.855</v>
      </c>
      <c r="E106" s="13">
        <v>0</v>
      </c>
      <c r="F106" s="5"/>
      <c r="G106" s="5"/>
      <c r="H106" s="5"/>
      <c r="I106" s="5"/>
      <c r="J106" s="3"/>
      <c r="K106" s="9"/>
      <c r="L106" s="5"/>
      <c r="M106" s="5"/>
      <c r="N106" s="5"/>
      <c r="O106" s="6"/>
      <c r="P106" s="32" t="s">
        <v>29</v>
      </c>
      <c r="Q106" s="5"/>
      <c r="R106" s="3"/>
      <c r="S106" s="3"/>
      <c r="T106" s="3"/>
      <c r="U106" s="3"/>
      <c r="V106" s="3"/>
      <c r="W106" s="3"/>
      <c r="X106" s="3"/>
      <c r="Y106" s="31" t="s">
        <v>36</v>
      </c>
      <c r="Z106" s="3"/>
      <c r="AA106" s="5"/>
      <c r="AB106" s="3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>
      <c r="A107" s="45"/>
      <c r="B107" s="31"/>
      <c r="C107" s="29"/>
      <c r="E107" s="13"/>
      <c r="F107" s="5"/>
      <c r="G107" s="5"/>
      <c r="H107" s="5"/>
      <c r="I107" s="5"/>
      <c r="J107" s="3"/>
      <c r="K107" s="9"/>
      <c r="L107" s="5"/>
      <c r="M107" s="5"/>
      <c r="N107" s="5"/>
      <c r="O107" s="6"/>
      <c r="P107" s="32"/>
      <c r="Q107" s="5"/>
      <c r="R107" s="3"/>
      <c r="S107" s="3"/>
      <c r="T107" s="3"/>
      <c r="U107" s="3"/>
      <c r="V107" s="3"/>
      <c r="W107" s="3"/>
      <c r="X107" s="3"/>
      <c r="Y107" s="31"/>
      <c r="Z107" s="3"/>
      <c r="AA107" s="5"/>
      <c r="AB107" s="3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>
      <c r="A108" s="7">
        <v>40025</v>
      </c>
      <c r="B108" s="31" t="s">
        <v>222</v>
      </c>
      <c r="C108" s="29" t="s">
        <v>223</v>
      </c>
      <c r="D108">
        <v>0.925</v>
      </c>
      <c r="E108" s="13">
        <v>0</v>
      </c>
      <c r="F108" s="5">
        <v>138.7</v>
      </c>
      <c r="G108" s="8">
        <f>+(D108*(1-0.04*E108))*F108</f>
        <v>128.29749999999999</v>
      </c>
      <c r="H108" s="5">
        <v>3</v>
      </c>
      <c r="I108" s="5">
        <v>22</v>
      </c>
      <c r="J108" s="3">
        <v>6</v>
      </c>
      <c r="K108" s="9">
        <v>41.18</v>
      </c>
      <c r="L108" s="10">
        <f>+K108*D108</f>
        <v>38.0915</v>
      </c>
      <c r="M108" s="11">
        <v>1</v>
      </c>
      <c r="N108" s="8">
        <f>+K108*D108*(1-0.04*E108)*(1+0.05*MAX(H108+I108/60+J108/3600-1,0))*(1+0.03*$M108)*(H108+I108/60+J108/3600)/(H108+I108/60+J108/3600+1/3)</f>
        <v>39.928839229140216</v>
      </c>
      <c r="O108" s="12">
        <f>1000*(N108/MAX(N$108:N$110))</f>
        <v>1000</v>
      </c>
      <c r="P108" s="32" t="s">
        <v>29</v>
      </c>
      <c r="Q108" s="30" t="s">
        <v>87</v>
      </c>
      <c r="R108" s="27" t="s">
        <v>164</v>
      </c>
      <c r="S108" s="27" t="s">
        <v>219</v>
      </c>
      <c r="T108" s="3"/>
      <c r="U108" s="3"/>
      <c r="V108" s="3"/>
      <c r="W108" s="3"/>
      <c r="X108" s="3"/>
      <c r="Y108" s="31" t="s">
        <v>29</v>
      </c>
      <c r="Z108" s="30" t="s">
        <v>220</v>
      </c>
      <c r="AA108" s="5"/>
      <c r="AB108" s="3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>
      <c r="A109" s="45"/>
      <c r="B109" s="31" t="s">
        <v>105</v>
      </c>
      <c r="C109" s="29" t="s">
        <v>101</v>
      </c>
      <c r="D109">
        <v>0.925</v>
      </c>
      <c r="E109" s="13">
        <v>0</v>
      </c>
      <c r="F109" s="5">
        <v>122.18</v>
      </c>
      <c r="G109" s="8">
        <f>+(D109*(1-0.04*E109))*F109</f>
        <v>113.01650000000001</v>
      </c>
      <c r="H109" s="5">
        <v>3</v>
      </c>
      <c r="I109" s="5">
        <v>0</v>
      </c>
      <c r="J109" s="3">
        <v>16</v>
      </c>
      <c r="K109" s="9">
        <v>40.67</v>
      </c>
      <c r="L109" s="10">
        <f>+K109*D109</f>
        <v>37.61975</v>
      </c>
      <c r="M109" s="11">
        <v>1</v>
      </c>
      <c r="N109" s="8">
        <f>+K109*D109*(1-0.04*E109)*(1+0.05*MAX(H109+I109/60+J109/3600-1,0))*(1+0.03*$M109)*(H109+I109/60+J109/3600)/(H109+I109/60+J109/3600+1/3)</f>
        <v>38.37428541293979</v>
      </c>
      <c r="O109" s="12">
        <f>1000*(N109/MAX(N$108:N$110))</f>
        <v>961.066891845283</v>
      </c>
      <c r="P109" s="32" t="s">
        <v>29</v>
      </c>
      <c r="Q109" s="30" t="s">
        <v>87</v>
      </c>
      <c r="R109" s="27" t="s">
        <v>219</v>
      </c>
      <c r="S109" s="27" t="s">
        <v>164</v>
      </c>
      <c r="T109" s="3"/>
      <c r="U109" s="3"/>
      <c r="V109" s="3"/>
      <c r="W109" s="3"/>
      <c r="X109" s="3"/>
      <c r="Y109" s="31" t="s">
        <v>29</v>
      </c>
      <c r="Z109" s="30" t="s">
        <v>220</v>
      </c>
      <c r="AA109" s="5"/>
      <c r="AB109" s="3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>
      <c r="A110" s="45"/>
      <c r="B110" s="31" t="s">
        <v>198</v>
      </c>
      <c r="C110" s="29" t="s">
        <v>199</v>
      </c>
      <c r="D110">
        <v>0.855</v>
      </c>
      <c r="E110" s="13">
        <v>0</v>
      </c>
      <c r="F110" s="5">
        <v>128.75</v>
      </c>
      <c r="G110" s="8">
        <f>+(D110*(1-0.04*E110))*F110</f>
        <v>110.08125</v>
      </c>
      <c r="H110" s="5">
        <v>3</v>
      </c>
      <c r="I110" s="5">
        <v>12</v>
      </c>
      <c r="J110" s="3">
        <v>30</v>
      </c>
      <c r="K110" s="9">
        <v>40.13</v>
      </c>
      <c r="L110" s="10">
        <f>+K110*D110</f>
        <v>34.311150000000005</v>
      </c>
      <c r="M110" s="11">
        <v>1</v>
      </c>
      <c r="N110" s="8">
        <f>+K110*D110*(1-0.04*E110)*(1+0.05*MAX(H110+I110/60+J110/3600-1,0))*(1+0.03*$M110)*(H110+I110/60+J110/3600)/(H110+I110/60+J110/3600+1/3)</f>
        <v>35.54923589128677</v>
      </c>
      <c r="O110" s="12">
        <f>1000*(N110/MAX(N$108:N$110))</f>
        <v>890.314784441387</v>
      </c>
      <c r="P110" s="32" t="s">
        <v>29</v>
      </c>
      <c r="Q110" s="30" t="s">
        <v>87</v>
      </c>
      <c r="R110" s="27" t="s">
        <v>164</v>
      </c>
      <c r="S110" s="27" t="s">
        <v>219</v>
      </c>
      <c r="T110" s="3"/>
      <c r="U110" s="3"/>
      <c r="V110" s="3"/>
      <c r="W110" s="3"/>
      <c r="X110" s="3"/>
      <c r="Y110" s="31" t="s">
        <v>29</v>
      </c>
      <c r="Z110" s="30" t="s">
        <v>220</v>
      </c>
      <c r="AA110" s="5"/>
      <c r="AB110" s="3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>
      <c r="A111" s="45"/>
      <c r="B111" s="31" t="s">
        <v>186</v>
      </c>
      <c r="C111" s="29" t="s">
        <v>187</v>
      </c>
      <c r="D111">
        <v>0.88</v>
      </c>
      <c r="E111" s="13">
        <v>1</v>
      </c>
      <c r="F111" s="5">
        <v>161.24</v>
      </c>
      <c r="G111" s="8">
        <f>+(D111*(1-0.04*E111))*F111</f>
        <v>136.215552</v>
      </c>
      <c r="H111" s="5">
        <v>3</v>
      </c>
      <c r="I111" s="5">
        <v>38</v>
      </c>
      <c r="J111" s="3"/>
      <c r="K111" s="41">
        <f>161.2/(3+38/60)</f>
        <v>44.366972477064216</v>
      </c>
      <c r="L111" s="5"/>
      <c r="M111" s="5"/>
      <c r="N111" s="5"/>
      <c r="O111" s="40">
        <f>MIN(600*(G111/MAX(G$108:G$110)),1000)</f>
        <v>637.02980338666</v>
      </c>
      <c r="P111" s="32" t="s">
        <v>29</v>
      </c>
      <c r="Q111" s="30" t="s">
        <v>87</v>
      </c>
      <c r="R111" s="27" t="s">
        <v>164</v>
      </c>
      <c r="S111" s="27" t="s">
        <v>219</v>
      </c>
      <c r="T111" s="3"/>
      <c r="U111" s="3"/>
      <c r="V111" s="3"/>
      <c r="W111" s="3"/>
      <c r="X111" s="3"/>
      <c r="Y111" s="31" t="s">
        <v>221</v>
      </c>
      <c r="Z111" s="30" t="s">
        <v>220</v>
      </c>
      <c r="AA111" s="5"/>
      <c r="AB111" s="3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>
      <c r="A112" s="45"/>
      <c r="K112" s="9"/>
      <c r="O112" s="12"/>
      <c r="AF112" s="1"/>
      <c r="AG112" s="1"/>
      <c r="AH112" s="1"/>
      <c r="AI112" s="1"/>
      <c r="AJ112" s="1"/>
      <c r="AK112" s="1"/>
      <c r="AL112" s="1"/>
    </row>
    <row r="113" spans="1:38" ht="12.75">
      <c r="A113" s="7">
        <v>40027</v>
      </c>
      <c r="B113" s="31" t="s">
        <v>186</v>
      </c>
      <c r="C113" s="29" t="s">
        <v>66</v>
      </c>
      <c r="D113">
        <v>0.88</v>
      </c>
      <c r="E113" s="13">
        <v>0</v>
      </c>
      <c r="F113" s="5">
        <v>106.32</v>
      </c>
      <c r="G113" s="8">
        <f aca="true" t="shared" si="20" ref="G113:G124">+(D113*(1-0.04*E113))*F113</f>
        <v>93.5616</v>
      </c>
      <c r="H113" s="5">
        <v>2</v>
      </c>
      <c r="I113" s="5">
        <v>12</v>
      </c>
      <c r="J113" s="5">
        <v>28</v>
      </c>
      <c r="K113" s="9">
        <v>48.16</v>
      </c>
      <c r="L113" s="10">
        <f aca="true" t="shared" si="21" ref="L113:L119">+K113*D113</f>
        <v>42.3808</v>
      </c>
      <c r="M113" s="11">
        <v>1</v>
      </c>
      <c r="N113" s="8">
        <f aca="true" t="shared" si="22" ref="N113:N119">+K113*D113*(1-0.04*E113)*(1+0.05*MAX(H113+I113/60+J113/3600-1,0))*(1+0.03*$M113)*(H113+I113/60+J113/3600)/(H113+I113/60+J113/3600+1/3)</f>
        <v>40.21640501828344</v>
      </c>
      <c r="O113" s="12">
        <f aca="true" t="shared" si="23" ref="O113:O118">1000*(N113/MAX(N$108:N$118))</f>
        <v>1000</v>
      </c>
      <c r="P113" s="32" t="s">
        <v>29</v>
      </c>
      <c r="Q113" s="5" t="s">
        <v>224</v>
      </c>
      <c r="R113" s="3" t="s">
        <v>73</v>
      </c>
      <c r="S113" s="3" t="s">
        <v>225</v>
      </c>
      <c r="T113" t="s">
        <v>226</v>
      </c>
      <c r="Y113" s="31" t="s">
        <v>29</v>
      </c>
      <c r="Z113" s="30" t="s">
        <v>228</v>
      </c>
      <c r="AF113" s="1"/>
      <c r="AG113" s="1"/>
      <c r="AH113" s="1"/>
      <c r="AI113" s="1"/>
      <c r="AJ113" s="1"/>
      <c r="AK113" s="1"/>
      <c r="AL113" s="1"/>
    </row>
    <row r="114" spans="1:38" ht="12.75">
      <c r="A114" s="7"/>
      <c r="B114" s="31" t="s">
        <v>229</v>
      </c>
      <c r="C114" s="29" t="s">
        <v>101</v>
      </c>
      <c r="D114">
        <v>0.925</v>
      </c>
      <c r="E114" s="13">
        <v>0</v>
      </c>
      <c r="F114" s="5">
        <v>126.83</v>
      </c>
      <c r="G114" s="8">
        <f t="shared" si="20"/>
        <v>117.31775</v>
      </c>
      <c r="H114" s="5">
        <v>3</v>
      </c>
      <c r="I114" s="5">
        <v>0</v>
      </c>
      <c r="J114" s="5">
        <v>0</v>
      </c>
      <c r="K114" s="9">
        <f>+F114/H114</f>
        <v>42.276666666666664</v>
      </c>
      <c r="L114" s="10">
        <f t="shared" si="21"/>
        <v>39.105916666666666</v>
      </c>
      <c r="M114" s="11">
        <v>1</v>
      </c>
      <c r="N114" s="8">
        <f t="shared" si="22"/>
        <v>39.876303224999994</v>
      </c>
      <c r="O114" s="12">
        <f t="shared" si="23"/>
        <v>991.543207476431</v>
      </c>
      <c r="P114" s="32" t="s">
        <v>29</v>
      </c>
      <c r="Q114" s="30" t="s">
        <v>224</v>
      </c>
      <c r="R114" s="27" t="s">
        <v>164</v>
      </c>
      <c r="S114" s="27" t="s">
        <v>88</v>
      </c>
      <c r="Y114" s="31" t="s">
        <v>29</v>
      </c>
      <c r="Z114" t="s">
        <v>227</v>
      </c>
      <c r="AF114" s="1"/>
      <c r="AG114" s="1"/>
      <c r="AH114" s="1"/>
      <c r="AI114" s="1"/>
      <c r="AJ114" s="1"/>
      <c r="AK114" s="1"/>
      <c r="AL114" s="1"/>
    </row>
    <row r="115" spans="1:38" ht="12.75">
      <c r="A115" s="7"/>
      <c r="B115" s="31" t="s">
        <v>198</v>
      </c>
      <c r="C115" s="29" t="s">
        <v>199</v>
      </c>
      <c r="D115">
        <v>0.855</v>
      </c>
      <c r="E115" s="13">
        <v>0</v>
      </c>
      <c r="F115" s="5">
        <v>130.8</v>
      </c>
      <c r="G115" s="8">
        <f t="shared" si="20"/>
        <v>111.834</v>
      </c>
      <c r="H115" s="5">
        <v>3</v>
      </c>
      <c r="I115" s="5">
        <v>4</v>
      </c>
      <c r="J115" s="5">
        <v>42</v>
      </c>
      <c r="K115" s="9">
        <v>42.62</v>
      </c>
      <c r="L115" s="10">
        <f t="shared" si="21"/>
        <v>36.440099999999994</v>
      </c>
      <c r="M115" s="11">
        <v>1</v>
      </c>
      <c r="N115" s="8">
        <f t="shared" si="22"/>
        <v>37.38540827883597</v>
      </c>
      <c r="O115" s="12">
        <f t="shared" si="23"/>
        <v>929.605922305576</v>
      </c>
      <c r="P115" s="32" t="s">
        <v>29</v>
      </c>
      <c r="Q115" s="30" t="s">
        <v>224</v>
      </c>
      <c r="R115" s="27" t="s">
        <v>164</v>
      </c>
      <c r="S115" s="27" t="s">
        <v>88</v>
      </c>
      <c r="Y115" s="31" t="s">
        <v>29</v>
      </c>
      <c r="Z115" t="s">
        <v>227</v>
      </c>
      <c r="AF115" s="1"/>
      <c r="AG115" s="1"/>
      <c r="AH115" s="1"/>
      <c r="AI115" s="1"/>
      <c r="AJ115" s="1"/>
      <c r="AK115" s="1"/>
      <c r="AL115" s="1"/>
    </row>
    <row r="116" spans="1:38" ht="12.75">
      <c r="A116" s="7"/>
      <c r="B116" s="31" t="s">
        <v>222</v>
      </c>
      <c r="C116" s="29" t="s">
        <v>223</v>
      </c>
      <c r="D116">
        <v>0.925</v>
      </c>
      <c r="E116" s="13">
        <v>0</v>
      </c>
      <c r="F116" s="32">
        <v>107.77</v>
      </c>
      <c r="G116" s="8">
        <f t="shared" si="20"/>
        <v>99.68725</v>
      </c>
      <c r="H116" s="5">
        <v>2</v>
      </c>
      <c r="I116" s="5">
        <v>33</v>
      </c>
      <c r="J116" s="5">
        <v>10</v>
      </c>
      <c r="K116" s="9">
        <v>42.2</v>
      </c>
      <c r="L116" s="10">
        <f t="shared" si="21"/>
        <v>39.035000000000004</v>
      </c>
      <c r="M116" s="11">
        <v>0</v>
      </c>
      <c r="N116" s="8">
        <f t="shared" si="22"/>
        <v>37.2072354875147</v>
      </c>
      <c r="O116" s="12">
        <f t="shared" si="23"/>
        <v>925.1755712774254</v>
      </c>
      <c r="P116" s="32" t="s">
        <v>29</v>
      </c>
      <c r="Q116" s="32" t="s">
        <v>224</v>
      </c>
      <c r="R116" s="31" t="s">
        <v>234</v>
      </c>
      <c r="S116" s="3" t="s">
        <v>103</v>
      </c>
      <c r="T116" t="s">
        <v>29</v>
      </c>
      <c r="U116" t="s">
        <v>67</v>
      </c>
      <c r="V116" t="s">
        <v>68</v>
      </c>
      <c r="Y116" s="31" t="s">
        <v>29</v>
      </c>
      <c r="AF116" s="1"/>
      <c r="AG116" s="1"/>
      <c r="AH116" s="1"/>
      <c r="AI116" s="1"/>
      <c r="AJ116" s="1"/>
      <c r="AK116" s="1"/>
      <c r="AL116" s="1"/>
    </row>
    <row r="117" spans="1:38" ht="12.75">
      <c r="A117" s="45"/>
      <c r="B117" s="31" t="s">
        <v>231</v>
      </c>
      <c r="C117" s="29" t="s">
        <v>232</v>
      </c>
      <c r="D117">
        <v>0.894</v>
      </c>
      <c r="E117" s="13">
        <v>0</v>
      </c>
      <c r="F117" s="5">
        <v>81.37</v>
      </c>
      <c r="G117" s="8">
        <f t="shared" si="20"/>
        <v>72.74478</v>
      </c>
      <c r="H117" s="5">
        <v>2</v>
      </c>
      <c r="I117" s="5">
        <v>26</v>
      </c>
      <c r="J117" s="5">
        <v>24</v>
      </c>
      <c r="K117" s="9">
        <v>33.35</v>
      </c>
      <c r="L117" s="10">
        <f t="shared" si="21"/>
        <v>29.8149</v>
      </c>
      <c r="M117" s="11">
        <v>1</v>
      </c>
      <c r="N117" s="8">
        <f t="shared" si="22"/>
        <v>28.963638735923084</v>
      </c>
      <c r="O117" s="12">
        <f t="shared" si="23"/>
        <v>720.1946251226445</v>
      </c>
      <c r="P117" s="32" t="s">
        <v>29</v>
      </c>
      <c r="Q117" s="5" t="s">
        <v>224</v>
      </c>
      <c r="R117" s="3" t="s">
        <v>73</v>
      </c>
      <c r="Y117" s="31" t="s">
        <v>29</v>
      </c>
      <c r="Z117" t="s">
        <v>228</v>
      </c>
      <c r="AF117" s="1"/>
      <c r="AG117" s="1"/>
      <c r="AH117" s="1"/>
      <c r="AI117" s="1"/>
      <c r="AJ117" s="1"/>
      <c r="AK117" s="1"/>
      <c r="AL117" s="1"/>
    </row>
    <row r="118" spans="1:38" ht="12.75">
      <c r="A118" s="45"/>
      <c r="B118" s="31" t="s">
        <v>235</v>
      </c>
      <c r="C118" s="29" t="s">
        <v>122</v>
      </c>
      <c r="D118">
        <v>0.94</v>
      </c>
      <c r="E118" s="13">
        <v>0</v>
      </c>
      <c r="F118" s="5">
        <v>54.98</v>
      </c>
      <c r="G118" s="8">
        <f t="shared" si="20"/>
        <v>51.6812</v>
      </c>
      <c r="H118" s="5">
        <v>1</v>
      </c>
      <c r="I118" s="5">
        <v>37</v>
      </c>
      <c r="J118" s="5">
        <v>3</v>
      </c>
      <c r="K118" s="9">
        <v>33.99</v>
      </c>
      <c r="L118" s="10">
        <f t="shared" si="21"/>
        <v>31.9506</v>
      </c>
      <c r="M118" s="11">
        <v>0</v>
      </c>
      <c r="N118" s="8">
        <f t="shared" si="22"/>
        <v>27.309210652829986</v>
      </c>
      <c r="O118" s="12">
        <f t="shared" si="23"/>
        <v>679.0564855415221</v>
      </c>
      <c r="P118" s="32" t="s">
        <v>35</v>
      </c>
      <c r="Q118" s="30" t="s">
        <v>88</v>
      </c>
      <c r="R118" s="27" t="s">
        <v>69</v>
      </c>
      <c r="Y118" s="31" t="s">
        <v>35</v>
      </c>
      <c r="AF118" s="1"/>
      <c r="AG118" s="1"/>
      <c r="AH118" s="1"/>
      <c r="AI118" s="1"/>
      <c r="AJ118" s="1"/>
      <c r="AK118" s="1"/>
      <c r="AL118" s="1"/>
    </row>
    <row r="119" spans="1:38" ht="12.75">
      <c r="A119" s="45"/>
      <c r="B119" s="31" t="s">
        <v>230</v>
      </c>
      <c r="C119" s="29" t="s">
        <v>101</v>
      </c>
      <c r="D119">
        <v>0.925</v>
      </c>
      <c r="E119" s="13">
        <v>0</v>
      </c>
      <c r="F119" s="5">
        <v>126.83</v>
      </c>
      <c r="G119" s="8">
        <f t="shared" si="20"/>
        <v>117.31775</v>
      </c>
      <c r="H119" s="5">
        <v>2</v>
      </c>
      <c r="I119" s="5">
        <v>48</v>
      </c>
      <c r="J119" s="5">
        <v>15</v>
      </c>
      <c r="K119" s="9">
        <v>45.2</v>
      </c>
      <c r="L119" s="10">
        <f t="shared" si="21"/>
        <v>41.81</v>
      </c>
      <c r="M119" s="11">
        <v>1</v>
      </c>
      <c r="N119" s="8">
        <f t="shared" si="22"/>
        <v>41.9611109226151</v>
      </c>
      <c r="O119" s="12"/>
      <c r="P119" s="32" t="s">
        <v>29</v>
      </c>
      <c r="Q119" s="30" t="s">
        <v>224</v>
      </c>
      <c r="R119" s="27" t="s">
        <v>164</v>
      </c>
      <c r="S119" s="27" t="s">
        <v>88</v>
      </c>
      <c r="Y119" s="31" t="s">
        <v>29</v>
      </c>
      <c r="Z119" t="s">
        <v>233</v>
      </c>
      <c r="AF119" s="1"/>
      <c r="AG119" s="1"/>
      <c r="AH119" s="1"/>
      <c r="AI119" s="1"/>
      <c r="AJ119" s="1"/>
      <c r="AK119" s="1"/>
      <c r="AL119" s="1"/>
    </row>
    <row r="120" spans="1:38" ht="12.75">
      <c r="A120" s="45"/>
      <c r="B120" s="31"/>
      <c r="C120" s="29"/>
      <c r="E120" s="13"/>
      <c r="F120" s="5"/>
      <c r="G120" s="8"/>
      <c r="H120" s="5"/>
      <c r="I120" s="5"/>
      <c r="J120" s="5"/>
      <c r="K120" s="9"/>
      <c r="L120" s="10"/>
      <c r="M120" s="11"/>
      <c r="N120" s="8"/>
      <c r="O120" s="12"/>
      <c r="P120" s="32"/>
      <c r="Q120" s="30"/>
      <c r="R120" s="27"/>
      <c r="S120" s="27"/>
      <c r="Y120" s="31"/>
      <c r="AF120" s="1"/>
      <c r="AG120" s="1"/>
      <c r="AH120" s="1"/>
      <c r="AI120" s="1"/>
      <c r="AJ120" s="1"/>
      <c r="AK120" s="1"/>
      <c r="AL120" s="1"/>
    </row>
    <row r="121" spans="1:38" ht="12.75">
      <c r="A121" s="7">
        <v>40031</v>
      </c>
      <c r="B121" s="31" t="s">
        <v>186</v>
      </c>
      <c r="C121" s="29" t="s">
        <v>187</v>
      </c>
      <c r="D121">
        <v>0.88</v>
      </c>
      <c r="E121" s="13">
        <v>0</v>
      </c>
      <c r="F121" s="5">
        <v>193.92</v>
      </c>
      <c r="G121" s="8">
        <f t="shared" si="20"/>
        <v>170.6496</v>
      </c>
      <c r="H121" s="5">
        <v>2</v>
      </c>
      <c r="I121" s="5">
        <v>58</v>
      </c>
      <c r="J121" s="5">
        <v>54</v>
      </c>
      <c r="K121" s="9">
        <v>65.04</v>
      </c>
      <c r="L121" s="10">
        <f>+K121*D121</f>
        <v>57.235200000000006</v>
      </c>
      <c r="M121" s="11">
        <v>1</v>
      </c>
      <c r="N121" s="8">
        <f>+K121*D121*(1-0.04*E121)*(1+0.05*MAX(H121+I121/60+J121/3600-1,0))*(1+0.03*$M121)*(H121+I121/60+J121/3600)/(H121+I121/60+J121/3600+1/3)</f>
        <v>58.278264351557574</v>
      </c>
      <c r="O121" s="12">
        <f>1000*(N121/MAX(N$121:N$124))</f>
        <v>1000</v>
      </c>
      <c r="P121" s="32" t="s">
        <v>29</v>
      </c>
      <c r="Q121" s="30" t="s">
        <v>225</v>
      </c>
      <c r="R121" s="27" t="s">
        <v>73</v>
      </c>
      <c r="S121" s="27" t="s">
        <v>35</v>
      </c>
      <c r="T121" t="s">
        <v>67</v>
      </c>
      <c r="U121" t="s">
        <v>73</v>
      </c>
      <c r="V121" t="s">
        <v>183</v>
      </c>
      <c r="W121" t="s">
        <v>236</v>
      </c>
      <c r="X121" t="s">
        <v>184</v>
      </c>
      <c r="Y121" s="31" t="s">
        <v>29</v>
      </c>
      <c r="AF121" s="1"/>
      <c r="AG121" s="1"/>
      <c r="AH121" s="1"/>
      <c r="AI121" s="1"/>
      <c r="AJ121" s="1"/>
      <c r="AK121" s="1"/>
      <c r="AL121" s="1"/>
    </row>
    <row r="122" spans="1:38" ht="12.75">
      <c r="A122" s="45"/>
      <c r="B122" s="31" t="s">
        <v>222</v>
      </c>
      <c r="C122" s="29" t="s">
        <v>223</v>
      </c>
      <c r="D122">
        <v>0.925</v>
      </c>
      <c r="E122" s="13">
        <v>0</v>
      </c>
      <c r="F122" s="5">
        <v>120.07</v>
      </c>
      <c r="G122" s="8">
        <f t="shared" si="20"/>
        <v>111.06475</v>
      </c>
      <c r="H122" s="5">
        <v>2</v>
      </c>
      <c r="I122" s="5">
        <v>17</v>
      </c>
      <c r="J122" s="5">
        <v>6</v>
      </c>
      <c r="K122" s="9">
        <v>52.55</v>
      </c>
      <c r="L122" s="10">
        <f>+K122*D122</f>
        <v>48.60875</v>
      </c>
      <c r="M122" s="11">
        <v>1</v>
      </c>
      <c r="N122" s="8">
        <f>+K122*D122*(1-0.04*E122)*(1+0.05*MAX(H122+I122/60+J122/3600-1,0))*(1+0.03*$M122)*(H122+I122/60+J122/3600)/(H122+I122/60+J122/3600+1/3)</f>
        <v>46.50039118449037</v>
      </c>
      <c r="O122" s="12">
        <f>1000*(N122/MAX(N$121:N$124))</f>
        <v>797.9028150869694</v>
      </c>
      <c r="P122" s="32" t="s">
        <v>29</v>
      </c>
      <c r="Q122" s="30" t="s">
        <v>146</v>
      </c>
      <c r="R122" s="27" t="s">
        <v>73</v>
      </c>
      <c r="S122" s="27" t="s">
        <v>225</v>
      </c>
      <c r="T122" t="s">
        <v>183</v>
      </c>
      <c r="U122" t="s">
        <v>35</v>
      </c>
      <c r="Y122" s="31" t="s">
        <v>29</v>
      </c>
      <c r="AF122" s="1"/>
      <c r="AG122" s="1"/>
      <c r="AH122" s="1"/>
      <c r="AI122" s="1"/>
      <c r="AJ122" s="1"/>
      <c r="AK122" s="1"/>
      <c r="AL122" s="1"/>
    </row>
    <row r="123" spans="1:38" ht="12.75">
      <c r="A123" s="45"/>
      <c r="B123" s="31" t="s">
        <v>237</v>
      </c>
      <c r="C123" s="29" t="s">
        <v>238</v>
      </c>
      <c r="D123">
        <v>0.94</v>
      </c>
      <c r="E123" s="13">
        <v>0</v>
      </c>
      <c r="F123" s="5">
        <v>112.85</v>
      </c>
      <c r="G123" s="8">
        <f t="shared" si="20"/>
        <v>106.079</v>
      </c>
      <c r="H123" s="5">
        <v>2</v>
      </c>
      <c r="I123" s="5">
        <v>38</v>
      </c>
      <c r="J123" s="5">
        <v>17</v>
      </c>
      <c r="K123" s="9">
        <v>42.78</v>
      </c>
      <c r="L123" s="10">
        <f>+K123*D123</f>
        <v>40.2132</v>
      </c>
      <c r="M123" s="11">
        <v>1</v>
      </c>
      <c r="N123" s="8">
        <f>+K123*D123*(1-0.04*E123)*(1+0.05*MAX(H123+I123/60+J123/3600-1,0))*(1+0.03*$M123)*(H123+I123/60+J123/3600)/(H123+I123/60+J123/3600+1/3)</f>
        <v>39.784924348603916</v>
      </c>
      <c r="O123" s="12">
        <f>1000*(N123/MAX(N$121:N$124))</f>
        <v>682.6717437672044</v>
      </c>
      <c r="P123" s="32" t="s">
        <v>29</v>
      </c>
      <c r="Q123" s="30" t="s">
        <v>146</v>
      </c>
      <c r="R123" s="27" t="s">
        <v>73</v>
      </c>
      <c r="S123" s="27" t="s">
        <v>239</v>
      </c>
      <c r="T123" t="s">
        <v>146</v>
      </c>
      <c r="U123" t="s">
        <v>67</v>
      </c>
      <c r="V123" t="s">
        <v>183</v>
      </c>
      <c r="W123" t="s">
        <v>240</v>
      </c>
      <c r="Y123" s="31" t="s">
        <v>29</v>
      </c>
      <c r="AF123" s="1"/>
      <c r="AG123" s="1"/>
      <c r="AH123" s="1"/>
      <c r="AI123" s="1"/>
      <c r="AJ123" s="1"/>
      <c r="AK123" s="1"/>
      <c r="AL123" s="1"/>
    </row>
    <row r="124" spans="1:38" ht="12.75">
      <c r="A124" s="45"/>
      <c r="B124" s="31" t="s">
        <v>208</v>
      </c>
      <c r="C124" s="29" t="s">
        <v>149</v>
      </c>
      <c r="D124">
        <v>0.94</v>
      </c>
      <c r="E124" s="13">
        <v>0</v>
      </c>
      <c r="F124" s="5">
        <v>82.23</v>
      </c>
      <c r="G124" s="8">
        <f t="shared" si="20"/>
        <v>77.2962</v>
      </c>
      <c r="H124" s="5">
        <v>2</v>
      </c>
      <c r="I124" s="5">
        <v>1</v>
      </c>
      <c r="J124" s="5">
        <v>35</v>
      </c>
      <c r="K124" s="9">
        <v>40.58</v>
      </c>
      <c r="L124" s="10">
        <f>+K124*D124</f>
        <v>38.145199999999996</v>
      </c>
      <c r="M124" s="11">
        <v>1</v>
      </c>
      <c r="N124" s="8">
        <f>+K124*D124*(1-0.04*E124)*(1+0.05*MAX(H124+I124/60+J124/3600-1,0))*(1+0.03*$M124)*(H124+I124/60+J124/3600)/(H124+I124/60+J124/3600+1/3)</f>
        <v>35.47102438960646</v>
      </c>
      <c r="O124" s="12">
        <f>1000*(N124/MAX(N$121:N$124))</f>
        <v>608.6492929101524</v>
      </c>
      <c r="P124" s="32" t="s">
        <v>69</v>
      </c>
      <c r="Q124" s="5" t="s">
        <v>241</v>
      </c>
      <c r="R124" s="3" t="s">
        <v>242</v>
      </c>
      <c r="S124" s="3" t="s">
        <v>70</v>
      </c>
      <c r="Y124" s="31" t="s">
        <v>69</v>
      </c>
      <c r="AF124" s="1"/>
      <c r="AG124" s="1"/>
      <c r="AH124" s="1"/>
      <c r="AI124" s="1"/>
      <c r="AJ124" s="1"/>
      <c r="AK124" s="1"/>
      <c r="AL124" s="1"/>
    </row>
    <row r="125" spans="1:38" ht="12.75">
      <c r="A125" s="45"/>
      <c r="B125" s="31"/>
      <c r="C125" s="29"/>
      <c r="E125" s="13"/>
      <c r="F125" s="5"/>
      <c r="G125" s="8"/>
      <c r="H125" s="5"/>
      <c r="I125" s="5"/>
      <c r="J125" s="5"/>
      <c r="K125" s="9"/>
      <c r="L125" s="10"/>
      <c r="M125" s="11"/>
      <c r="N125" s="8"/>
      <c r="O125" s="12"/>
      <c r="P125" s="32"/>
      <c r="Q125" s="5"/>
      <c r="R125" s="3"/>
      <c r="S125" s="3"/>
      <c r="Y125" s="31"/>
      <c r="AF125" s="1"/>
      <c r="AG125" s="1"/>
      <c r="AH125" s="1"/>
      <c r="AI125" s="1"/>
      <c r="AJ125" s="1"/>
      <c r="AK125" s="1"/>
      <c r="AL125" s="1"/>
    </row>
    <row r="126" spans="1:38" ht="12.75">
      <c r="A126" s="7">
        <v>40037</v>
      </c>
      <c r="B126" s="31" t="s">
        <v>186</v>
      </c>
      <c r="C126" s="29" t="s">
        <v>187</v>
      </c>
      <c r="D126">
        <v>0.88</v>
      </c>
      <c r="E126" s="13"/>
      <c r="F126" s="5">
        <v>206.08</v>
      </c>
      <c r="G126" s="8">
        <f aca="true" t="shared" si="24" ref="G126:G132">+(D126*(1-0.04*E126))*F126</f>
        <v>181.3504</v>
      </c>
      <c r="H126" s="5">
        <v>3</v>
      </c>
      <c r="I126" s="5">
        <v>12</v>
      </c>
      <c r="J126" s="5">
        <v>17</v>
      </c>
      <c r="K126" s="9">
        <v>64.31</v>
      </c>
      <c r="L126" s="10">
        <f aca="true" t="shared" si="25" ref="L126:L131">+K126*D126</f>
        <v>56.592800000000004</v>
      </c>
      <c r="M126" s="11">
        <v>1</v>
      </c>
      <c r="N126" s="8">
        <f aca="true" t="shared" si="26" ref="N126:N131">+K126*D126*(1-0.04*E126)*(1+0.05*MAX(H126+I126/60+J126/3600-1,0))*(1+0.03*$M126)*(H126+I126/60+J126/3600)/(H126+I126/60+J126/3600+1/3)</f>
        <v>58.61914763329572</v>
      </c>
      <c r="O126" s="12">
        <f aca="true" t="shared" si="27" ref="O126:O131">1000*(N126/MAX(N$126:N$131))</f>
        <v>1000</v>
      </c>
      <c r="P126" s="32" t="s">
        <v>29</v>
      </c>
      <c r="Q126" s="30" t="s">
        <v>88</v>
      </c>
      <c r="R126" s="27" t="s">
        <v>243</v>
      </c>
      <c r="S126" s="27" t="s">
        <v>155</v>
      </c>
      <c r="T126" t="s">
        <v>145</v>
      </c>
      <c r="U126" t="s">
        <v>184</v>
      </c>
      <c r="V126" t="s">
        <v>146</v>
      </c>
      <c r="W126" t="s">
        <v>145</v>
      </c>
      <c r="X126" t="s">
        <v>68</v>
      </c>
      <c r="Y126" s="31" t="s">
        <v>29</v>
      </c>
      <c r="AF126" s="1"/>
      <c r="AG126" s="1"/>
      <c r="AH126" s="1"/>
      <c r="AI126" s="1"/>
      <c r="AJ126" s="1"/>
      <c r="AK126" s="1"/>
      <c r="AL126" s="1"/>
    </row>
    <row r="127" spans="1:38" ht="12.75">
      <c r="A127" s="45"/>
      <c r="B127" s="31" t="s">
        <v>222</v>
      </c>
      <c r="C127" s="29" t="s">
        <v>223</v>
      </c>
      <c r="D127">
        <v>0.925</v>
      </c>
      <c r="E127" s="13"/>
      <c r="F127" s="5">
        <v>117.3</v>
      </c>
      <c r="G127" s="8">
        <f t="shared" si="24"/>
        <v>108.5025</v>
      </c>
      <c r="H127" s="5">
        <v>2</v>
      </c>
      <c r="I127" s="5">
        <v>9</v>
      </c>
      <c r="J127" s="5">
        <v>27</v>
      </c>
      <c r="K127" s="9">
        <v>54.37</v>
      </c>
      <c r="L127" s="10">
        <f t="shared" si="25"/>
        <v>50.29225</v>
      </c>
      <c r="M127" s="11">
        <v>0</v>
      </c>
      <c r="N127" s="8">
        <f t="shared" si="26"/>
        <v>46.08308607062353</v>
      </c>
      <c r="O127" s="12">
        <f t="shared" si="27"/>
        <v>786.1439125472426</v>
      </c>
      <c r="P127" s="32" t="s">
        <v>29</v>
      </c>
      <c r="Q127" s="30" t="s">
        <v>88</v>
      </c>
      <c r="R127" s="27" t="s">
        <v>243</v>
      </c>
      <c r="S127" s="27" t="s">
        <v>99</v>
      </c>
      <c r="Y127" s="31" t="s">
        <v>100</v>
      </c>
      <c r="AF127" s="1"/>
      <c r="AG127" s="1"/>
      <c r="AH127" s="1"/>
      <c r="AI127" s="1"/>
      <c r="AJ127" s="1"/>
      <c r="AK127" s="1"/>
      <c r="AL127" s="1"/>
    </row>
    <row r="128" spans="1:38" ht="12.75">
      <c r="A128" s="45"/>
      <c r="B128" s="31" t="s">
        <v>105</v>
      </c>
      <c r="C128" s="29" t="s">
        <v>101</v>
      </c>
      <c r="D128">
        <v>0.925</v>
      </c>
      <c r="E128" s="13"/>
      <c r="F128" s="5">
        <v>143.77</v>
      </c>
      <c r="G128" s="8">
        <f t="shared" si="24"/>
        <v>132.98725000000002</v>
      </c>
      <c r="H128" s="5">
        <v>2</v>
      </c>
      <c r="I128" s="5">
        <v>52</v>
      </c>
      <c r="J128" s="5">
        <v>48</v>
      </c>
      <c r="K128" s="9">
        <v>49.92</v>
      </c>
      <c r="L128" s="10">
        <f t="shared" si="25"/>
        <v>46.176</v>
      </c>
      <c r="M128" s="11">
        <v>0</v>
      </c>
      <c r="N128" s="8">
        <f t="shared" si="26"/>
        <v>45.276238605809134</v>
      </c>
      <c r="O128" s="12">
        <f t="shared" si="27"/>
        <v>772.3796819606465</v>
      </c>
      <c r="P128" s="32" t="s">
        <v>29</v>
      </c>
      <c r="Q128" s="30" t="s">
        <v>88</v>
      </c>
      <c r="R128" s="27" t="s">
        <v>87</v>
      </c>
      <c r="S128" s="27" t="s">
        <v>96</v>
      </c>
      <c r="T128" t="s">
        <v>245</v>
      </c>
      <c r="Y128" s="32" t="s">
        <v>29</v>
      </c>
      <c r="AF128" s="1"/>
      <c r="AG128" s="1"/>
      <c r="AH128" s="1"/>
      <c r="AI128" s="1"/>
      <c r="AJ128" s="1"/>
      <c r="AK128" s="1"/>
      <c r="AL128" s="1"/>
    </row>
    <row r="129" spans="1:38" ht="12.75">
      <c r="A129" s="45"/>
      <c r="B129" s="31" t="s">
        <v>105</v>
      </c>
      <c r="C129" s="29" t="s">
        <v>101</v>
      </c>
      <c r="D129">
        <v>0.925</v>
      </c>
      <c r="E129" s="13"/>
      <c r="F129" s="5">
        <v>143.77</v>
      </c>
      <c r="G129" s="8">
        <f t="shared" si="24"/>
        <v>132.98725000000002</v>
      </c>
      <c r="H129" s="5">
        <v>3</v>
      </c>
      <c r="I129" s="5">
        <v>0</v>
      </c>
      <c r="J129" s="5">
        <v>0</v>
      </c>
      <c r="K129" s="9">
        <f>143.8/3</f>
        <v>47.93333333333334</v>
      </c>
      <c r="L129" s="10">
        <f t="shared" si="25"/>
        <v>44.33833333333334</v>
      </c>
      <c r="M129" s="11">
        <v>1</v>
      </c>
      <c r="N129" s="8">
        <f t="shared" si="26"/>
        <v>45.21179850000001</v>
      </c>
      <c r="O129" s="12">
        <f t="shared" si="27"/>
        <v>771.2803806502242</v>
      </c>
      <c r="P129" s="32" t="s">
        <v>29</v>
      </c>
      <c r="Q129" s="30" t="s">
        <v>88</v>
      </c>
      <c r="R129" s="27" t="s">
        <v>87</v>
      </c>
      <c r="S129" s="27" t="s">
        <v>96</v>
      </c>
      <c r="T129" t="s">
        <v>245</v>
      </c>
      <c r="Y129" s="32" t="s">
        <v>29</v>
      </c>
      <c r="AF129" s="1"/>
      <c r="AG129" s="1"/>
      <c r="AH129" s="1"/>
      <c r="AI129" s="1"/>
      <c r="AJ129" s="1"/>
      <c r="AK129" s="1"/>
      <c r="AL129" s="1"/>
    </row>
    <row r="130" spans="1:38" ht="12.75">
      <c r="A130" s="45"/>
      <c r="B130" s="31" t="s">
        <v>192</v>
      </c>
      <c r="C130" s="29" t="s">
        <v>191</v>
      </c>
      <c r="D130">
        <v>0.885</v>
      </c>
      <c r="E130" s="13"/>
      <c r="F130" s="5">
        <v>133.41</v>
      </c>
      <c r="G130" s="8">
        <f t="shared" si="24"/>
        <v>118.06784999999999</v>
      </c>
      <c r="H130" s="5">
        <v>3</v>
      </c>
      <c r="I130" s="5">
        <v>12</v>
      </c>
      <c r="J130" s="5">
        <v>11</v>
      </c>
      <c r="K130" s="9">
        <v>46.3</v>
      </c>
      <c r="L130" s="10">
        <f t="shared" si="25"/>
        <v>40.9755</v>
      </c>
      <c r="M130" s="11">
        <v>1</v>
      </c>
      <c r="N130" s="8">
        <f t="shared" si="26"/>
        <v>42.43739238885415</v>
      </c>
      <c r="O130" s="12">
        <f t="shared" si="27"/>
        <v>723.9510313989908</v>
      </c>
      <c r="P130" s="32" t="s">
        <v>29</v>
      </c>
      <c r="Q130" s="30" t="s">
        <v>88</v>
      </c>
      <c r="R130" s="27" t="s">
        <v>247</v>
      </c>
      <c r="S130" s="27" t="s">
        <v>248</v>
      </c>
      <c r="T130" t="s">
        <v>249</v>
      </c>
      <c r="Y130" s="32" t="s">
        <v>29</v>
      </c>
      <c r="AF130" s="1"/>
      <c r="AG130" s="1"/>
      <c r="AH130" s="1"/>
      <c r="AI130" s="1"/>
      <c r="AJ130" s="1"/>
      <c r="AK130" s="1"/>
      <c r="AL130" s="1"/>
    </row>
    <row r="131" spans="1:38" ht="12.75">
      <c r="A131" s="45"/>
      <c r="B131" s="31" t="s">
        <v>198</v>
      </c>
      <c r="C131" s="29" t="s">
        <v>95</v>
      </c>
      <c r="D131">
        <v>0.855</v>
      </c>
      <c r="E131" s="13"/>
      <c r="F131" s="5">
        <v>133.53</v>
      </c>
      <c r="G131" s="8">
        <f t="shared" si="24"/>
        <v>114.16815</v>
      </c>
      <c r="H131" s="5">
        <v>2</v>
      </c>
      <c r="I131" s="5">
        <v>54</v>
      </c>
      <c r="J131" s="5">
        <v>30</v>
      </c>
      <c r="K131" s="9">
        <v>45.91</v>
      </c>
      <c r="L131" s="10">
        <f t="shared" si="25"/>
        <v>39.253049999999995</v>
      </c>
      <c r="M131" s="11">
        <v>1</v>
      </c>
      <c r="N131" s="8">
        <f t="shared" si="26"/>
        <v>39.73432157210957</v>
      </c>
      <c r="O131" s="12">
        <f t="shared" si="27"/>
        <v>677.8386103577604</v>
      </c>
      <c r="P131" s="32" t="s">
        <v>29</v>
      </c>
      <c r="Q131" s="30" t="s">
        <v>87</v>
      </c>
      <c r="R131" s="27" t="s">
        <v>96</v>
      </c>
      <c r="S131" s="27" t="s">
        <v>86</v>
      </c>
      <c r="T131" t="s">
        <v>145</v>
      </c>
      <c r="U131" t="s">
        <v>184</v>
      </c>
      <c r="V131" t="s">
        <v>67</v>
      </c>
      <c r="W131" t="s">
        <v>146</v>
      </c>
      <c r="X131" t="s">
        <v>68</v>
      </c>
      <c r="Y131" s="31" t="s">
        <v>29</v>
      </c>
      <c r="AF131" s="1"/>
      <c r="AG131" s="1"/>
      <c r="AH131" s="1"/>
      <c r="AI131" s="1"/>
      <c r="AJ131" s="1"/>
      <c r="AK131" s="1"/>
      <c r="AL131" s="1"/>
    </row>
    <row r="132" spans="1:38" ht="12.75">
      <c r="A132" s="45"/>
      <c r="B132" s="31" t="s">
        <v>246</v>
      </c>
      <c r="C132" s="29" t="s">
        <v>223</v>
      </c>
      <c r="D132">
        <v>0.925</v>
      </c>
      <c r="E132" s="13"/>
      <c r="F132" s="5">
        <v>168.03</v>
      </c>
      <c r="G132" s="8">
        <f t="shared" si="24"/>
        <v>155.42775</v>
      </c>
      <c r="H132" s="5"/>
      <c r="I132" s="5"/>
      <c r="J132" s="5"/>
      <c r="K132" s="9"/>
      <c r="L132" s="10"/>
      <c r="M132" s="11"/>
      <c r="N132" s="8"/>
      <c r="O132" s="12"/>
      <c r="P132" s="32" t="s">
        <v>29</v>
      </c>
      <c r="Q132" s="30" t="s">
        <v>88</v>
      </c>
      <c r="R132" s="27" t="s">
        <v>243</v>
      </c>
      <c r="S132" s="27" t="s">
        <v>99</v>
      </c>
      <c r="T132" t="s">
        <v>29</v>
      </c>
      <c r="U132" t="s">
        <v>146</v>
      </c>
      <c r="V132" t="s">
        <v>145</v>
      </c>
      <c r="W132" t="s">
        <v>86</v>
      </c>
      <c r="Y132" s="32" t="s">
        <v>244</v>
      </c>
      <c r="AF132" s="1"/>
      <c r="AG132" s="1"/>
      <c r="AH132" s="1"/>
      <c r="AI132" s="1"/>
      <c r="AJ132" s="1"/>
      <c r="AK132" s="1"/>
      <c r="AL132" s="1"/>
    </row>
    <row r="133" spans="1:38" ht="12.75">
      <c r="A133" s="45"/>
      <c r="B133" s="31"/>
      <c r="C133" s="29"/>
      <c r="E133" s="13"/>
      <c r="F133" s="5"/>
      <c r="G133" s="8"/>
      <c r="H133" s="5"/>
      <c r="I133" s="5"/>
      <c r="J133" s="5"/>
      <c r="K133" s="9"/>
      <c r="L133" s="10"/>
      <c r="M133" s="11"/>
      <c r="N133" s="8"/>
      <c r="O133" s="12"/>
      <c r="P133" s="32"/>
      <c r="Q133" s="30"/>
      <c r="R133" s="27"/>
      <c r="S133" s="27"/>
      <c r="Y133" s="32"/>
      <c r="AF133" s="1"/>
      <c r="AG133" s="1"/>
      <c r="AH133" s="1"/>
      <c r="AI133" s="1"/>
      <c r="AJ133" s="1"/>
      <c r="AK133" s="1"/>
      <c r="AL133" s="1"/>
    </row>
    <row r="134" spans="1:38" ht="12.75">
      <c r="A134" s="7">
        <v>40040</v>
      </c>
      <c r="B134" s="31" t="s">
        <v>257</v>
      </c>
      <c r="C134" s="29" t="s">
        <v>187</v>
      </c>
      <c r="D134">
        <v>0.88</v>
      </c>
      <c r="E134" s="13">
        <v>0</v>
      </c>
      <c r="F134" s="5">
        <v>158.63</v>
      </c>
      <c r="G134" s="8">
        <f>+(D134*(1-0.04*E134))*F134</f>
        <v>139.5944</v>
      </c>
      <c r="H134" s="5">
        <v>2</v>
      </c>
      <c r="I134" s="5">
        <v>49</v>
      </c>
      <c r="J134" s="5">
        <v>39</v>
      </c>
      <c r="K134" s="9">
        <v>56.1</v>
      </c>
      <c r="L134" s="10">
        <f>+K134*D134</f>
        <v>49.368</v>
      </c>
      <c r="M134" s="11">
        <v>1</v>
      </c>
      <c r="N134" s="8">
        <f>+K134*D134*(1-0.04*E134)*(1+0.05*MAX(H134+I134/60+J134/3600-1,0))*(1+0.03*$M134)*(H134+I134/60+J134/3600)/(H134+I134/60+J134/3600+1/3)</f>
        <v>49.64297229232534</v>
      </c>
      <c r="O134" s="12">
        <f>1000*(N134/MAX(N$134:N$140))</f>
        <v>1000</v>
      </c>
      <c r="P134" s="32" t="s">
        <v>29</v>
      </c>
      <c r="Q134" s="30" t="s">
        <v>145</v>
      </c>
      <c r="R134" s="27" t="s">
        <v>251</v>
      </c>
      <c r="S134" s="27" t="s">
        <v>146</v>
      </c>
      <c r="T134" t="s">
        <v>145</v>
      </c>
      <c r="U134" t="s">
        <v>252</v>
      </c>
      <c r="V134" t="s">
        <v>253</v>
      </c>
      <c r="W134" t="s">
        <v>183</v>
      </c>
      <c r="X134" t="s">
        <v>146</v>
      </c>
      <c r="Y134" s="32" t="s">
        <v>29</v>
      </c>
      <c r="AF134" s="1"/>
      <c r="AG134" s="1"/>
      <c r="AH134" s="1"/>
      <c r="AI134" s="1"/>
      <c r="AJ134" s="1"/>
      <c r="AK134" s="1"/>
      <c r="AL134" s="1"/>
    </row>
    <row r="135" spans="1:38" ht="12.75">
      <c r="A135" s="45"/>
      <c r="B135" s="31" t="s">
        <v>105</v>
      </c>
      <c r="C135" s="29" t="s">
        <v>101</v>
      </c>
      <c r="D135">
        <v>0.925</v>
      </c>
      <c r="E135" s="13">
        <v>0</v>
      </c>
      <c r="F135" s="5">
        <v>102.3</v>
      </c>
      <c r="G135" s="8">
        <f>+(D135*(1-0.04*E135))*F135</f>
        <v>94.6275</v>
      </c>
      <c r="H135" s="5">
        <v>1</v>
      </c>
      <c r="I135" s="5">
        <v>53</v>
      </c>
      <c r="J135" s="5">
        <v>32</v>
      </c>
      <c r="K135" s="9">
        <v>54.06</v>
      </c>
      <c r="L135" s="10">
        <f>+K135*D135</f>
        <v>50.005500000000005</v>
      </c>
      <c r="M135" s="11">
        <v>0</v>
      </c>
      <c r="N135" s="8">
        <f>+K135*D135*(1-0.04*E135)*(1+0.05*MAX(H135+I135/60+J135/3600-1,0))*(1+0.03*$M135)*(H135+I135/60+J135/3600)/(H135+I135/60+J135/3600+1/3)</f>
        <v>44.41259134352638</v>
      </c>
      <c r="O135" s="12">
        <f>1000*(N135/MAX(N$134:N$140))</f>
        <v>894.6400526141026</v>
      </c>
      <c r="P135" s="32" t="s">
        <v>29</v>
      </c>
      <c r="Q135" s="30" t="s">
        <v>250</v>
      </c>
      <c r="R135" s="27" t="s">
        <v>146</v>
      </c>
      <c r="S135" s="27" t="s">
        <v>249</v>
      </c>
      <c r="T135" t="s">
        <v>29</v>
      </c>
      <c r="U135" t="s">
        <v>146</v>
      </c>
      <c r="Y135" s="32" t="s">
        <v>29</v>
      </c>
      <c r="AF135" s="1"/>
      <c r="AG135" s="1"/>
      <c r="AH135" s="1"/>
      <c r="AI135" s="1"/>
      <c r="AJ135" s="1"/>
      <c r="AK135" s="1"/>
      <c r="AL135" s="1"/>
    </row>
    <row r="136" spans="1:38" ht="12.75">
      <c r="A136" s="45"/>
      <c r="B136" s="31" t="s">
        <v>198</v>
      </c>
      <c r="C136" s="29" t="s">
        <v>95</v>
      </c>
      <c r="D136">
        <v>0.885</v>
      </c>
      <c r="E136" s="13">
        <v>0</v>
      </c>
      <c r="F136" s="5">
        <v>108.2</v>
      </c>
      <c r="G136" s="8">
        <f>+(D136*(1-0.04*E136))*F136</f>
        <v>95.757</v>
      </c>
      <c r="H136" s="5">
        <v>2</v>
      </c>
      <c r="I136" s="5">
        <v>15</v>
      </c>
      <c r="J136" s="5">
        <v>12</v>
      </c>
      <c r="K136" s="9">
        <v>48</v>
      </c>
      <c r="L136" s="10">
        <f>+K136*D136</f>
        <v>42.480000000000004</v>
      </c>
      <c r="M136" s="11">
        <v>1</v>
      </c>
      <c r="N136" s="8">
        <f>+K136*D136*(1-0.04*E136)*(1+0.05*MAX(H136+I136/60+J136/3600-1,0))*(1+0.03*$M136)*(H136+I136/60+J136/3600)/(H136+I136/60+J136/3600+1/3)</f>
        <v>40.504545698969075</v>
      </c>
      <c r="O136" s="12">
        <f>1000*(N136/MAX(N$134:N$140))</f>
        <v>815.917013599747</v>
      </c>
      <c r="P136" s="32" t="s">
        <v>29</v>
      </c>
      <c r="Q136" s="30" t="s">
        <v>146</v>
      </c>
      <c r="R136" s="27" t="s">
        <v>145</v>
      </c>
      <c r="S136" s="27" t="s">
        <v>255</v>
      </c>
      <c r="T136" t="s">
        <v>184</v>
      </c>
      <c r="U136" t="s">
        <v>145</v>
      </c>
      <c r="V136" t="s">
        <v>155</v>
      </c>
      <c r="W136" t="s">
        <v>256</v>
      </c>
      <c r="X136" t="s">
        <v>68</v>
      </c>
      <c r="Y136" s="32" t="s">
        <v>29</v>
      </c>
      <c r="AF136" s="1"/>
      <c r="AG136" s="1"/>
      <c r="AH136" s="1"/>
      <c r="AI136" s="1"/>
      <c r="AJ136" s="1"/>
      <c r="AK136" s="1"/>
      <c r="AL136" s="1"/>
    </row>
    <row r="137" spans="1:38" ht="12.75">
      <c r="A137" s="45"/>
      <c r="B137" s="31" t="s">
        <v>237</v>
      </c>
      <c r="C137" s="29" t="s">
        <v>238</v>
      </c>
      <c r="D137">
        <v>0.94</v>
      </c>
      <c r="E137" s="13">
        <v>0</v>
      </c>
      <c r="F137" s="5">
        <v>107.47</v>
      </c>
      <c r="G137" s="8">
        <f>+(D137*(1-0.04*E137))*F137</f>
        <v>101.0218</v>
      </c>
      <c r="H137" s="5">
        <v>2</v>
      </c>
      <c r="I137" s="5">
        <v>44</v>
      </c>
      <c r="J137" s="5">
        <v>9</v>
      </c>
      <c r="K137" s="9">
        <v>39.28</v>
      </c>
      <c r="L137" s="10">
        <f>+K137*D137</f>
        <v>36.9232</v>
      </c>
      <c r="M137" s="11">
        <v>1</v>
      </c>
      <c r="N137" s="8">
        <f>+K137*D137*(1-0.04*E137)*(1+0.05*MAX(H137+I137/60+J137/3600-1,0))*(1+0.03*$M137)*(H137+I137/60+J137/3600)/(H137+I137/60+J137/3600+1/3)</f>
        <v>36.84274845673979</v>
      </c>
      <c r="O137" s="12">
        <f>1000*(N137/MAX(N$134:N$140))</f>
        <v>742.1543625508414</v>
      </c>
      <c r="P137" s="32" t="s">
        <v>29</v>
      </c>
      <c r="Q137" s="30" t="s">
        <v>145</v>
      </c>
      <c r="R137" s="27" t="s">
        <v>251</v>
      </c>
      <c r="S137" s="27" t="s">
        <v>146</v>
      </c>
      <c r="T137" t="s">
        <v>145</v>
      </c>
      <c r="Y137" s="32" t="s">
        <v>29</v>
      </c>
      <c r="AF137" s="1"/>
      <c r="AG137" s="1"/>
      <c r="AH137" s="1"/>
      <c r="AI137" s="1"/>
      <c r="AJ137" s="1"/>
      <c r="AK137" s="1"/>
      <c r="AL137" s="1"/>
    </row>
    <row r="138" spans="1:38" ht="12.75">
      <c r="A138" s="45"/>
      <c r="B138" s="31"/>
      <c r="C138" s="29"/>
      <c r="E138" s="13"/>
      <c r="F138" s="5"/>
      <c r="G138" s="8"/>
      <c r="H138" s="5"/>
      <c r="I138" s="5"/>
      <c r="J138" s="5"/>
      <c r="K138" s="9"/>
      <c r="L138" s="10"/>
      <c r="M138" s="11"/>
      <c r="N138" s="8"/>
      <c r="O138" s="12"/>
      <c r="P138" s="32"/>
      <c r="Q138" s="30"/>
      <c r="R138" s="27"/>
      <c r="S138" s="27"/>
      <c r="Y138" s="32"/>
      <c r="AF138" s="1"/>
      <c r="AG138" s="1"/>
      <c r="AH138" s="1"/>
      <c r="AI138" s="1"/>
      <c r="AJ138" s="1"/>
      <c r="AK138" s="1"/>
      <c r="AL138" s="1"/>
    </row>
    <row r="139" spans="1:38" ht="12.75">
      <c r="A139" s="7">
        <v>40047</v>
      </c>
      <c r="B139" s="31" t="s">
        <v>186</v>
      </c>
      <c r="C139" s="29" t="s">
        <v>187</v>
      </c>
      <c r="D139">
        <v>0.88</v>
      </c>
      <c r="E139" s="13"/>
      <c r="F139" s="5">
        <v>96.86</v>
      </c>
      <c r="G139" s="8">
        <f aca="true" t="shared" si="28" ref="G139:G144">+(D139*(1-0.04*E139))*F139</f>
        <v>85.2368</v>
      </c>
      <c r="H139" s="5">
        <v>2</v>
      </c>
      <c r="I139" s="5">
        <v>4</v>
      </c>
      <c r="J139" s="5">
        <v>29</v>
      </c>
      <c r="K139" s="9">
        <v>46.68</v>
      </c>
      <c r="L139" s="10">
        <f>+K139*D139</f>
        <v>41.0784</v>
      </c>
      <c r="M139" s="11">
        <v>0</v>
      </c>
      <c r="N139" s="8">
        <f>+K139*D139*(1-0.04*E139)*(1+0.05*MAX(H139+I139/60+J139/3600-1,0))*(1+0.03*$M139)*(H139+I139/60+J139/3600)/(H139+I139/60+J139/3600+1/3)</f>
        <v>37.29398908784558</v>
      </c>
      <c r="O139" s="12">
        <f>1000*(N139/MAX(N$139:N$143))</f>
        <v>1000</v>
      </c>
      <c r="P139" s="32" t="s">
        <v>29</v>
      </c>
      <c r="Q139" s="30" t="s">
        <v>258</v>
      </c>
      <c r="R139" s="27" t="s">
        <v>165</v>
      </c>
      <c r="S139" s="27" t="s">
        <v>259</v>
      </c>
      <c r="Y139" s="32" t="s">
        <v>29</v>
      </c>
      <c r="AF139" s="1"/>
      <c r="AG139" s="1"/>
      <c r="AH139" s="1"/>
      <c r="AI139" s="1"/>
      <c r="AJ139" s="1"/>
      <c r="AK139" s="1"/>
      <c r="AL139" s="1"/>
    </row>
    <row r="140" spans="1:38" ht="12.75">
      <c r="A140" s="45"/>
      <c r="B140" s="31" t="s">
        <v>237</v>
      </c>
      <c r="C140" s="29" t="s">
        <v>238</v>
      </c>
      <c r="D140">
        <v>0.94</v>
      </c>
      <c r="E140" s="13"/>
      <c r="F140" s="5">
        <v>41.7</v>
      </c>
      <c r="G140" s="8">
        <f t="shared" si="28"/>
        <v>39.198</v>
      </c>
      <c r="H140" s="5">
        <v>1</v>
      </c>
      <c r="I140" s="5">
        <v>9</v>
      </c>
      <c r="J140" s="5">
        <v>20</v>
      </c>
      <c r="K140" s="9">
        <v>36.09</v>
      </c>
      <c r="L140" s="10">
        <f>+K140*D140</f>
        <v>33.9246</v>
      </c>
      <c r="M140" s="11">
        <v>0</v>
      </c>
      <c r="N140" s="8">
        <f>+K140*D140*(1-0.04*E140)*(1+0.05*MAX(H140+I140/60+J140/3600-1,0))*(1+0.03*$M140)*(H140+I140/60+J140/3600)/(H140+I140/60+J140/3600+1/3)</f>
        <v>26.534325611940293</v>
      </c>
      <c r="O140" s="12">
        <f>1000*(N140/MAX(N$139:N$143))</f>
        <v>711.4906788179452</v>
      </c>
      <c r="P140" s="32" t="s">
        <v>29</v>
      </c>
      <c r="Q140" s="30" t="s">
        <v>67</v>
      </c>
      <c r="R140" s="27" t="s">
        <v>145</v>
      </c>
      <c r="S140" s="27" t="s">
        <v>29</v>
      </c>
      <c r="T140" t="s">
        <v>99</v>
      </c>
      <c r="Y140" s="32" t="s">
        <v>29</v>
      </c>
      <c r="AF140" s="1"/>
      <c r="AG140" s="1"/>
      <c r="AH140" s="1"/>
      <c r="AI140" s="1"/>
      <c r="AJ140" s="1"/>
      <c r="AK140" s="1"/>
      <c r="AL140" s="1"/>
    </row>
    <row r="141" spans="1:38" ht="12.75">
      <c r="A141" s="45"/>
      <c r="B141" s="31" t="s">
        <v>260</v>
      </c>
      <c r="C141" s="29" t="s">
        <v>187</v>
      </c>
      <c r="D141">
        <v>0.88</v>
      </c>
      <c r="E141" s="13"/>
      <c r="F141" s="5">
        <v>46.64</v>
      </c>
      <c r="G141" s="8">
        <f t="shared" si="28"/>
        <v>41.0432</v>
      </c>
      <c r="H141" s="5">
        <v>1</v>
      </c>
      <c r="I141" s="5">
        <v>18</v>
      </c>
      <c r="J141" s="5">
        <v>24</v>
      </c>
      <c r="K141" s="9">
        <v>35.69</v>
      </c>
      <c r="L141" s="10">
        <f>+K141*D141</f>
        <v>31.4072</v>
      </c>
      <c r="M141" s="11">
        <v>0</v>
      </c>
      <c r="N141" s="8">
        <f>+K141*D141*(1-0.04*E141)*(1+0.05*MAX(H141+I141/60+J141/3600-1,0))*(1+0.03*$M141)*(H141+I141/60+J141/3600)/(H141+I141/60+J141/3600+1/3)</f>
        <v>25.407318313279138</v>
      </c>
      <c r="O141" s="12">
        <f>1000*(N141/MAX(N$139:N$143))</f>
        <v>681.2711360383701</v>
      </c>
      <c r="P141" s="32" t="s">
        <v>29</v>
      </c>
      <c r="Q141" s="30" t="s">
        <v>67</v>
      </c>
      <c r="R141" s="27" t="s">
        <v>29</v>
      </c>
      <c r="S141" s="27" t="s">
        <v>99</v>
      </c>
      <c r="T141" t="s">
        <v>184</v>
      </c>
      <c r="U141" t="s">
        <v>29</v>
      </c>
      <c r="V141" t="s">
        <v>67</v>
      </c>
      <c r="Y141" s="32" t="s">
        <v>29</v>
      </c>
      <c r="AF141" s="1"/>
      <c r="AG141" s="1"/>
      <c r="AH141" s="1"/>
      <c r="AI141" s="1"/>
      <c r="AJ141" s="1"/>
      <c r="AK141" s="1"/>
      <c r="AL141" s="1"/>
    </row>
    <row r="142" spans="1:38" ht="12.75">
      <c r="A142" s="45"/>
      <c r="B142" s="31" t="s">
        <v>269</v>
      </c>
      <c r="C142" s="29" t="s">
        <v>223</v>
      </c>
      <c r="D142">
        <v>0.925</v>
      </c>
      <c r="E142" s="13"/>
      <c r="F142" s="5">
        <v>40.07</v>
      </c>
      <c r="G142" s="8">
        <f t="shared" si="28"/>
        <v>37.064750000000004</v>
      </c>
      <c r="H142" s="5">
        <v>1</v>
      </c>
      <c r="I142" s="5">
        <v>11</v>
      </c>
      <c r="J142" s="5">
        <v>4</v>
      </c>
      <c r="K142" s="9">
        <v>33.83</v>
      </c>
      <c r="L142" s="10">
        <f>+K142*D142</f>
        <v>31.29275</v>
      </c>
      <c r="M142" s="11">
        <v>0</v>
      </c>
      <c r="N142" s="8">
        <f>+K142*D142*(1-0.04*E142)*(1+0.05*MAX(H142+I142/60+J142/3600-1,0))*(1+0.03*$M142)*(H142+I142/60+J142/3600)/(H142+I142/60+J142/3600+1/3)</f>
        <v>24.64546636037905</v>
      </c>
      <c r="O142" s="12">
        <f>1000*(N142/MAX(N$139:N$143))</f>
        <v>660.8428586796366</v>
      </c>
      <c r="P142" s="32" t="s">
        <v>29</v>
      </c>
      <c r="Q142" s="32" t="s">
        <v>67</v>
      </c>
      <c r="R142" s="31" t="s">
        <v>146</v>
      </c>
      <c r="S142" s="31" t="s">
        <v>29</v>
      </c>
      <c r="T142" t="s">
        <v>67</v>
      </c>
      <c r="Y142" s="32" t="s">
        <v>29</v>
      </c>
      <c r="AF142" s="1"/>
      <c r="AG142" s="1"/>
      <c r="AH142" s="1"/>
      <c r="AI142" s="1"/>
      <c r="AJ142" s="1"/>
      <c r="AK142" s="1"/>
      <c r="AL142" s="1"/>
    </row>
    <row r="143" spans="1:38" ht="12.75">
      <c r="A143" s="45"/>
      <c r="B143" s="31" t="s">
        <v>268</v>
      </c>
      <c r="C143" s="29" t="s">
        <v>223</v>
      </c>
      <c r="D143">
        <v>0.925</v>
      </c>
      <c r="E143" s="13"/>
      <c r="F143" s="5">
        <v>50.73</v>
      </c>
      <c r="G143" s="8">
        <f t="shared" si="28"/>
        <v>46.92525</v>
      </c>
      <c r="H143" s="5">
        <v>2</v>
      </c>
      <c r="I143" s="5">
        <v>4</v>
      </c>
      <c r="J143" s="5">
        <v>15</v>
      </c>
      <c r="K143" s="9">
        <v>24.5</v>
      </c>
      <c r="L143" s="10">
        <f>+K143*D143</f>
        <v>22.6625</v>
      </c>
      <c r="M143" s="11">
        <v>0</v>
      </c>
      <c r="N143" s="8">
        <f>+K143*D143*(1-0.04*E143)*(1+0.05*MAX(H143+I143/60+J143/3600-1,0))*(1+0.03*$M143)*(H143+I143/60+J143/3600)/(H143+I143/60+J143/3600+1/3)</f>
        <v>20.56553959506788</v>
      </c>
      <c r="O143" s="12">
        <f>1000*(N143/MAX(N$139:N$143))</f>
        <v>551.443814353728</v>
      </c>
      <c r="P143" s="32" t="s">
        <v>29</v>
      </c>
      <c r="Q143" s="32" t="s">
        <v>184</v>
      </c>
      <c r="R143" s="31" t="s">
        <v>155</v>
      </c>
      <c r="S143" s="31" t="s">
        <v>67</v>
      </c>
      <c r="T143" t="s">
        <v>146</v>
      </c>
      <c r="U143" t="s">
        <v>29</v>
      </c>
      <c r="V143" t="s">
        <v>67</v>
      </c>
      <c r="Y143" s="32" t="s">
        <v>29</v>
      </c>
      <c r="AF143" s="1"/>
      <c r="AG143" s="1"/>
      <c r="AH143" s="1"/>
      <c r="AI143" s="1"/>
      <c r="AJ143" s="1"/>
      <c r="AK143" s="1"/>
      <c r="AL143" s="1"/>
    </row>
    <row r="144" spans="1:38" ht="12.75">
      <c r="A144" s="45"/>
      <c r="B144" s="31" t="s">
        <v>190</v>
      </c>
      <c r="C144" s="29" t="s">
        <v>191</v>
      </c>
      <c r="D144">
        <v>0.885</v>
      </c>
      <c r="E144" s="13"/>
      <c r="F144" s="5">
        <v>75.93</v>
      </c>
      <c r="G144" s="8">
        <f t="shared" si="28"/>
        <v>67.19805000000001</v>
      </c>
      <c r="H144" s="5"/>
      <c r="I144" s="5"/>
      <c r="J144" s="5"/>
      <c r="K144" s="9"/>
      <c r="L144" s="10"/>
      <c r="M144" s="11"/>
      <c r="N144" s="8"/>
      <c r="O144" s="40">
        <f>MIN(600*(G144/MAX(G$139:G$143)),1000)</f>
        <v>473.0213945150452</v>
      </c>
      <c r="P144" s="32" t="s">
        <v>29</v>
      </c>
      <c r="Q144" s="32" t="s">
        <v>258</v>
      </c>
      <c r="R144" s="31" t="s">
        <v>99</v>
      </c>
      <c r="S144" s="31"/>
      <c r="Y144" s="32" t="s">
        <v>270</v>
      </c>
      <c r="AF144" s="1"/>
      <c r="AG144" s="1"/>
      <c r="AH144" s="1"/>
      <c r="AI144" s="1"/>
      <c r="AJ144" s="1"/>
      <c r="AK144" s="1"/>
      <c r="AL144" s="1"/>
    </row>
    <row r="145" spans="1:38" ht="12.75">
      <c r="A145" s="45"/>
      <c r="B145" s="31"/>
      <c r="C145" s="29"/>
      <c r="E145" s="13"/>
      <c r="F145" s="5"/>
      <c r="G145" s="8"/>
      <c r="H145" s="5"/>
      <c r="I145" s="5"/>
      <c r="J145" s="5"/>
      <c r="K145" s="9"/>
      <c r="L145" s="10"/>
      <c r="M145" s="11"/>
      <c r="N145" s="8"/>
      <c r="O145" s="12"/>
      <c r="P145" s="49"/>
      <c r="Q145" s="30"/>
      <c r="R145" s="27"/>
      <c r="S145" s="27"/>
      <c r="Y145" s="32"/>
      <c r="AF145" s="1"/>
      <c r="AG145" s="1"/>
      <c r="AH145" s="1"/>
      <c r="AI145" s="1"/>
      <c r="AJ145" s="1"/>
      <c r="AK145" s="1"/>
      <c r="AL145" s="1"/>
    </row>
    <row r="146" spans="1:38" ht="12.75">
      <c r="A146" s="7">
        <v>40048</v>
      </c>
      <c r="B146" s="31" t="s">
        <v>267</v>
      </c>
      <c r="C146" s="29" t="s">
        <v>101</v>
      </c>
      <c r="D146">
        <v>0.925</v>
      </c>
      <c r="E146" s="13"/>
      <c r="F146" s="5">
        <v>207.79</v>
      </c>
      <c r="G146" s="8">
        <f>+(D146*(1-0.04*E146))*F146</f>
        <v>192.20575</v>
      </c>
      <c r="H146" s="5">
        <v>3</v>
      </c>
      <c r="I146" s="5">
        <v>54</v>
      </c>
      <c r="J146" s="5">
        <v>32</v>
      </c>
      <c r="K146" s="9">
        <v>53.16</v>
      </c>
      <c r="L146" s="10">
        <f>+K146*D146</f>
        <v>49.173</v>
      </c>
      <c r="M146" s="11">
        <v>0</v>
      </c>
      <c r="N146" s="8">
        <f>+K146*D146*(1-0.04*E146)*(1+0.05*MAX(H146+I146/60+J146/3600-1,0))*(1+0.03*$M146)*(H146+I146/60+J146/3600)/(H146+I146/60+J146/3600+1/3)</f>
        <v>51.899197943251274</v>
      </c>
      <c r="O146" s="12">
        <f>1000*(N146/MAX(N$146:N$149))</f>
        <v>1000</v>
      </c>
      <c r="P146" s="32" t="s">
        <v>29</v>
      </c>
      <c r="Q146" s="32" t="s">
        <v>69</v>
      </c>
      <c r="R146" s="31" t="s">
        <v>88</v>
      </c>
      <c r="S146" s="31" t="s">
        <v>93</v>
      </c>
      <c r="T146" t="s">
        <v>96</v>
      </c>
      <c r="U146" t="s">
        <v>36</v>
      </c>
      <c r="V146" t="s">
        <v>29</v>
      </c>
      <c r="W146" t="s">
        <v>261</v>
      </c>
      <c r="X146" t="s">
        <v>262</v>
      </c>
      <c r="Y146" s="32" t="s">
        <v>29</v>
      </c>
      <c r="AF146" s="1"/>
      <c r="AG146" s="1"/>
      <c r="AH146" s="1"/>
      <c r="AI146" s="1"/>
      <c r="AJ146" s="1"/>
      <c r="AK146" s="1"/>
      <c r="AL146" s="1"/>
    </row>
    <row r="147" spans="1:38" ht="12.75">
      <c r="A147" s="45"/>
      <c r="B147" s="31" t="s">
        <v>222</v>
      </c>
      <c r="C147" s="29" t="s">
        <v>223</v>
      </c>
      <c r="D147">
        <v>0.925</v>
      </c>
      <c r="E147" s="13"/>
      <c r="F147" s="5">
        <v>149.29</v>
      </c>
      <c r="G147" s="8">
        <f>+(D147*(1-0.04*E147))*F147</f>
        <v>138.09325</v>
      </c>
      <c r="H147" s="5">
        <v>3</v>
      </c>
      <c r="I147" s="5">
        <v>4</v>
      </c>
      <c r="J147" s="5">
        <v>2</v>
      </c>
      <c r="K147" s="9">
        <v>48.67</v>
      </c>
      <c r="L147" s="10">
        <f>+K147*D147</f>
        <v>45.01975</v>
      </c>
      <c r="M147" s="11">
        <v>0</v>
      </c>
      <c r="N147" s="8">
        <f>+K147*D147*(1-0.04*E147)*(1+0.05*MAX(H147+I147/60+J147/3600-1,0))*(1+0.03*$M147)*(H147+I147/60+J147/3600)/(H147+I147/60+J147/3600+1/3)</f>
        <v>44.80393097038315</v>
      </c>
      <c r="O147" s="12">
        <f>1000*(N147/MAX(N$146:N$149))</f>
        <v>863.2875409630341</v>
      </c>
      <c r="P147" s="49" t="s">
        <v>29</v>
      </c>
      <c r="Q147" s="32" t="s">
        <v>183</v>
      </c>
      <c r="R147" s="31" t="s">
        <v>69</v>
      </c>
      <c r="S147" s="31" t="s">
        <v>88</v>
      </c>
      <c r="T147" t="s">
        <v>93</v>
      </c>
      <c r="U147" t="s">
        <v>96</v>
      </c>
      <c r="Y147" s="32" t="s">
        <v>29</v>
      </c>
      <c r="AF147" s="1"/>
      <c r="AG147" s="1"/>
      <c r="AH147" s="1"/>
      <c r="AI147" s="1"/>
      <c r="AJ147" s="1"/>
      <c r="AK147" s="1"/>
      <c r="AL147" s="1"/>
    </row>
    <row r="148" spans="1:38" ht="14.25">
      <c r="A148" s="45"/>
      <c r="B148" s="31" t="s">
        <v>265</v>
      </c>
      <c r="C148" s="29" t="s">
        <v>238</v>
      </c>
      <c r="D148">
        <v>0.94</v>
      </c>
      <c r="E148" s="13"/>
      <c r="F148" s="5">
        <v>167.16</v>
      </c>
      <c r="G148" s="8">
        <f>+(D148*(1-0.04*E148))*F148</f>
        <v>157.13039999999998</v>
      </c>
      <c r="H148" s="5">
        <v>5</v>
      </c>
      <c r="I148" s="5">
        <v>13</v>
      </c>
      <c r="J148" s="5">
        <v>22</v>
      </c>
      <c r="K148" s="9">
        <v>32.01</v>
      </c>
      <c r="L148" s="10">
        <f>+K148*D148</f>
        <v>30.089399999999998</v>
      </c>
      <c r="M148" s="11">
        <v>0</v>
      </c>
      <c r="N148" s="8">
        <f>+K148*D148*(1-0.04*E148)*(1+0.05*MAX(H148+I148/60+J148/3600-1,0))*(1+0.03*$M148)*(H148+I148/60+J148/3600)/(H148+I148/60+J148/3600+1/3)</f>
        <v>34.25611456712495</v>
      </c>
      <c r="O148" s="12">
        <f>1000*(N148/MAX(N$146:N$149))</f>
        <v>660.0509434573922</v>
      </c>
      <c r="P148" s="50" t="s">
        <v>29</v>
      </c>
      <c r="Q148" s="32" t="s">
        <v>146</v>
      </c>
      <c r="R148" s="31" t="s">
        <v>68</v>
      </c>
      <c r="S148" s="31" t="s">
        <v>145</v>
      </c>
      <c r="T148" t="s">
        <v>29</v>
      </c>
      <c r="U148" t="s">
        <v>36</v>
      </c>
      <c r="V148" t="s">
        <v>86</v>
      </c>
      <c r="W148" t="s">
        <v>263</v>
      </c>
      <c r="X148" t="s">
        <v>146</v>
      </c>
      <c r="Y148" s="32" t="s">
        <v>68</v>
      </c>
      <c r="Z148" t="s">
        <v>29</v>
      </c>
      <c r="AA148" t="s">
        <v>184</v>
      </c>
      <c r="AB148" t="s">
        <v>67</v>
      </c>
      <c r="AC148" t="s">
        <v>264</v>
      </c>
      <c r="AD148" t="s">
        <v>68</v>
      </c>
      <c r="AE148" t="s">
        <v>29</v>
      </c>
      <c r="AF148" t="s">
        <v>67</v>
      </c>
      <c r="AG148" t="s">
        <v>29</v>
      </c>
      <c r="AH148" s="1"/>
      <c r="AI148" s="1"/>
      <c r="AJ148" s="1"/>
      <c r="AK148" s="1"/>
      <c r="AL148" s="1"/>
    </row>
    <row r="149" spans="1:38" ht="12.75">
      <c r="A149" s="45"/>
      <c r="B149" s="31" t="s">
        <v>237</v>
      </c>
      <c r="C149" s="29" t="s">
        <v>238</v>
      </c>
      <c r="D149">
        <v>0.94</v>
      </c>
      <c r="E149" s="13"/>
      <c r="F149" s="5">
        <v>92.42</v>
      </c>
      <c r="G149" s="8">
        <f>+(D149*(1-0.04*E149))*F149</f>
        <v>86.8748</v>
      </c>
      <c r="H149" s="5">
        <v>2</v>
      </c>
      <c r="I149" s="5">
        <v>41</v>
      </c>
      <c r="J149" s="5">
        <v>49</v>
      </c>
      <c r="K149" s="9">
        <v>34.21</v>
      </c>
      <c r="L149" s="10">
        <f>+K149*D149</f>
        <v>32.157399999999996</v>
      </c>
      <c r="M149" s="11">
        <v>0</v>
      </c>
      <c r="N149" s="8">
        <f>+K149*D149*(1-0.04*E149)*(1+0.05*MAX(H149+I149/60+J149/3600-1,0))*(1+0.03*$M149)*(H149+I149/60+J149/3600)/(H149+I149/60+J149/3600+1/3)</f>
        <v>31.048388817884057</v>
      </c>
      <c r="O149" s="12">
        <f>1000*(N149/MAX(N$146:N$149))</f>
        <v>598.2440971791827</v>
      </c>
      <c r="P149" t="s">
        <v>29</v>
      </c>
      <c r="Q149" t="s">
        <v>36</v>
      </c>
      <c r="R149" t="s">
        <v>86</v>
      </c>
      <c r="S149" t="s">
        <v>263</v>
      </c>
      <c r="T149" t="s">
        <v>146</v>
      </c>
      <c r="U149" s="32" t="s">
        <v>68</v>
      </c>
      <c r="Y149" s="32" t="s">
        <v>29</v>
      </c>
      <c r="AF149" s="1"/>
      <c r="AG149" s="1"/>
      <c r="AH149" s="1"/>
      <c r="AI149" s="1"/>
      <c r="AJ149" s="1"/>
      <c r="AK149" s="1"/>
      <c r="AL149" s="1"/>
    </row>
    <row r="150" spans="1:38" ht="12.75">
      <c r="A150" s="45"/>
      <c r="B150" s="32" t="s">
        <v>266</v>
      </c>
      <c r="C150" s="29"/>
      <c r="E150" s="13"/>
      <c r="F150" s="5"/>
      <c r="G150" s="8"/>
      <c r="H150" s="5"/>
      <c r="I150" s="5"/>
      <c r="J150" s="5"/>
      <c r="K150" s="9"/>
      <c r="L150" s="10"/>
      <c r="M150" s="11"/>
      <c r="N150" s="8"/>
      <c r="O150" s="12"/>
      <c r="P150" s="49"/>
      <c r="Q150" s="32"/>
      <c r="R150" s="31"/>
      <c r="S150" s="31"/>
      <c r="Y150" s="32"/>
      <c r="AF150" s="1"/>
      <c r="AG150" s="1"/>
      <c r="AH150" s="1"/>
      <c r="AI150" s="1"/>
      <c r="AJ150" s="1"/>
      <c r="AK150" s="1"/>
      <c r="AL150" s="1"/>
    </row>
    <row r="151" spans="1:38" ht="12.75">
      <c r="A151" s="45"/>
      <c r="B151" s="32"/>
      <c r="C151" s="29"/>
      <c r="E151" s="13"/>
      <c r="F151" s="5"/>
      <c r="G151" s="8"/>
      <c r="H151" s="5"/>
      <c r="I151" s="5"/>
      <c r="J151" s="5"/>
      <c r="K151" s="9"/>
      <c r="L151" s="10"/>
      <c r="M151" s="11"/>
      <c r="N151" s="8"/>
      <c r="O151" s="12"/>
      <c r="P151" s="49"/>
      <c r="Q151" s="32"/>
      <c r="R151" s="31"/>
      <c r="S151" s="31"/>
      <c r="Y151" s="32"/>
      <c r="AF151" s="1"/>
      <c r="AG151" s="1"/>
      <c r="AH151" s="1"/>
      <c r="AI151" s="1"/>
      <c r="AJ151" s="1"/>
      <c r="AK151" s="1"/>
      <c r="AL151" s="1"/>
    </row>
    <row r="152" spans="1:38" ht="12.75">
      <c r="A152" s="7">
        <v>40055</v>
      </c>
      <c r="B152" s="31" t="s">
        <v>186</v>
      </c>
      <c r="C152" s="29" t="s">
        <v>187</v>
      </c>
      <c r="D152">
        <v>0.88</v>
      </c>
      <c r="E152" s="13"/>
      <c r="F152" s="5">
        <v>229.94</v>
      </c>
      <c r="G152" s="8">
        <f aca="true" t="shared" si="29" ref="G152:G162">+(D152*(1-0.04*E152))*F152</f>
        <v>202.3472</v>
      </c>
      <c r="H152" s="5">
        <v>3</v>
      </c>
      <c r="I152" s="5">
        <v>51</v>
      </c>
      <c r="J152" s="5">
        <v>20</v>
      </c>
      <c r="K152" s="9">
        <v>59.64</v>
      </c>
      <c r="L152" s="10">
        <f aca="true" t="shared" si="30" ref="L152:L162">+K152*D152</f>
        <v>52.483200000000004</v>
      </c>
      <c r="M152" s="11">
        <v>1</v>
      </c>
      <c r="N152" s="8">
        <f aca="true" t="shared" si="31" ref="N152:N162">+K152*D152*(1-0.04*E152)*(1+0.05*MAX(H152+I152/60+J152/3600-1,0))*(1+0.03*$M152)*(H152+I152/60+J152/3600)/(H152+I152/60+J152/3600+1/3)</f>
        <v>56.86007691303273</v>
      </c>
      <c r="O152" s="12">
        <f aca="true" t="shared" si="32" ref="O152:O162">1000*(N152/MAX(N$146:N$162))</f>
        <v>1000</v>
      </c>
      <c r="P152" s="49" t="s">
        <v>29</v>
      </c>
      <c r="Q152" s="32" t="s">
        <v>88</v>
      </c>
      <c r="R152" s="31" t="s">
        <v>148</v>
      </c>
      <c r="S152" s="31" t="s">
        <v>271</v>
      </c>
      <c r="T152" t="s">
        <v>183</v>
      </c>
      <c r="U152" t="s">
        <v>155</v>
      </c>
      <c r="V152" t="s">
        <v>99</v>
      </c>
      <c r="W152" t="s">
        <v>35</v>
      </c>
      <c r="Y152" s="32" t="s">
        <v>29</v>
      </c>
      <c r="AF152" s="1"/>
      <c r="AG152" s="1"/>
      <c r="AH152" s="1"/>
      <c r="AI152" s="1"/>
      <c r="AJ152" s="1"/>
      <c r="AK152" s="1"/>
      <c r="AL152" s="1"/>
    </row>
    <row r="153" spans="1:38" ht="12.75">
      <c r="A153" s="45"/>
      <c r="B153" s="31" t="s">
        <v>105</v>
      </c>
      <c r="C153" s="29" t="s">
        <v>101</v>
      </c>
      <c r="D153">
        <v>0.925</v>
      </c>
      <c r="E153" s="13"/>
      <c r="F153" s="5">
        <v>198.43</v>
      </c>
      <c r="G153" s="8">
        <f t="shared" si="29"/>
        <v>183.54775</v>
      </c>
      <c r="H153" s="5">
        <v>3</v>
      </c>
      <c r="I153" s="5">
        <v>58</v>
      </c>
      <c r="J153" s="5">
        <v>37</v>
      </c>
      <c r="K153" s="9">
        <v>49.9</v>
      </c>
      <c r="L153" s="10">
        <f t="shared" si="30"/>
        <v>46.1575</v>
      </c>
      <c r="M153" s="11">
        <v>1</v>
      </c>
      <c r="N153" s="8">
        <f t="shared" si="31"/>
        <v>50.39483718213897</v>
      </c>
      <c r="O153" s="12">
        <f t="shared" si="32"/>
        <v>886.2956210772926</v>
      </c>
      <c r="P153" s="49" t="s">
        <v>29</v>
      </c>
      <c r="Q153" s="32" t="s">
        <v>88</v>
      </c>
      <c r="R153" s="31" t="s">
        <v>107</v>
      </c>
      <c r="S153" s="31" t="s">
        <v>69</v>
      </c>
      <c r="T153" t="s">
        <v>87</v>
      </c>
      <c r="U153" t="s">
        <v>96</v>
      </c>
      <c r="V153" t="s">
        <v>165</v>
      </c>
      <c r="W153" t="s">
        <v>36</v>
      </c>
      <c r="X153" t="s">
        <v>145</v>
      </c>
      <c r="Y153" s="32" t="s">
        <v>29</v>
      </c>
      <c r="AF153" s="1"/>
      <c r="AG153" s="1"/>
      <c r="AH153" s="1"/>
      <c r="AI153" s="1"/>
      <c r="AJ153" s="1"/>
      <c r="AK153" s="1"/>
      <c r="AL153" s="1"/>
    </row>
    <row r="154" spans="1:38" ht="12.75">
      <c r="A154" s="45"/>
      <c r="B154" s="31" t="s">
        <v>190</v>
      </c>
      <c r="C154" s="29" t="s">
        <v>191</v>
      </c>
      <c r="D154">
        <v>0.885</v>
      </c>
      <c r="E154" s="13"/>
      <c r="F154" s="5">
        <v>171.35</v>
      </c>
      <c r="G154" s="8">
        <f t="shared" si="29"/>
        <v>151.64475</v>
      </c>
      <c r="H154" s="5">
        <v>3</v>
      </c>
      <c r="I154" s="5">
        <v>9</v>
      </c>
      <c r="J154" s="5">
        <v>9</v>
      </c>
      <c r="K154" s="9">
        <v>54.35</v>
      </c>
      <c r="L154" s="10">
        <f t="shared" si="30"/>
        <v>48.09975</v>
      </c>
      <c r="M154" s="11">
        <v>1</v>
      </c>
      <c r="N154" s="8">
        <f t="shared" si="31"/>
        <v>49.62737110953645</v>
      </c>
      <c r="O154" s="12">
        <f t="shared" si="32"/>
        <v>872.7981705941293</v>
      </c>
      <c r="P154" s="32" t="s">
        <v>29</v>
      </c>
      <c r="Q154" s="32" t="s">
        <v>88</v>
      </c>
      <c r="R154" s="31" t="s">
        <v>148</v>
      </c>
      <c r="S154" s="31" t="s">
        <v>242</v>
      </c>
      <c r="T154" t="s">
        <v>277</v>
      </c>
      <c r="U154" t="s">
        <v>99</v>
      </c>
      <c r="V154" t="s">
        <v>36</v>
      </c>
      <c r="Y154" s="32" t="s">
        <v>29</v>
      </c>
      <c r="AF154" s="1"/>
      <c r="AG154" s="1"/>
      <c r="AH154" s="1"/>
      <c r="AI154" s="1"/>
      <c r="AJ154" s="1"/>
      <c r="AK154" s="1"/>
      <c r="AL154" s="1"/>
    </row>
    <row r="155" spans="1:38" ht="12.75">
      <c r="A155" s="45"/>
      <c r="B155" s="31" t="s">
        <v>222</v>
      </c>
      <c r="C155" s="29" t="s">
        <v>122</v>
      </c>
      <c r="D155">
        <v>0.925</v>
      </c>
      <c r="E155" s="13"/>
      <c r="F155" s="5">
        <v>141.78</v>
      </c>
      <c r="G155" s="8">
        <f t="shared" si="29"/>
        <v>131.1465</v>
      </c>
      <c r="H155" s="5">
        <v>2</v>
      </c>
      <c r="I155" s="5">
        <v>37</v>
      </c>
      <c r="J155" s="5">
        <v>30</v>
      </c>
      <c r="K155" s="9">
        <v>54.01</v>
      </c>
      <c r="L155" s="10">
        <f t="shared" si="30"/>
        <v>49.95925</v>
      </c>
      <c r="M155" s="11">
        <v>0</v>
      </c>
      <c r="N155" s="8">
        <f t="shared" si="31"/>
        <v>47.9318543794014</v>
      </c>
      <c r="O155" s="12">
        <f t="shared" si="32"/>
        <v>842.9790633718802</v>
      </c>
      <c r="P155" s="32" t="s">
        <v>29</v>
      </c>
      <c r="Q155" s="32" t="s">
        <v>88</v>
      </c>
      <c r="R155" s="31" t="s">
        <v>107</v>
      </c>
      <c r="S155" s="31" t="s">
        <v>69</v>
      </c>
      <c r="T155" t="s">
        <v>184</v>
      </c>
      <c r="Y155" s="32" t="s">
        <v>29</v>
      </c>
      <c r="AF155" s="1"/>
      <c r="AG155" s="1"/>
      <c r="AH155" s="1"/>
      <c r="AI155" s="1"/>
      <c r="AJ155" s="1"/>
      <c r="AK155" s="1"/>
      <c r="AL155" s="1"/>
    </row>
    <row r="156" spans="1:38" ht="12.75">
      <c r="A156" s="45"/>
      <c r="B156" s="31" t="s">
        <v>192</v>
      </c>
      <c r="C156" s="29" t="s">
        <v>191</v>
      </c>
      <c r="D156">
        <v>0.885</v>
      </c>
      <c r="E156" s="13"/>
      <c r="F156" s="5">
        <v>184.37</v>
      </c>
      <c r="G156" s="8">
        <f t="shared" si="29"/>
        <v>163.16745</v>
      </c>
      <c r="H156" s="5">
        <v>3</v>
      </c>
      <c r="I156" s="5">
        <v>39</v>
      </c>
      <c r="J156" s="5">
        <v>15</v>
      </c>
      <c r="K156" s="9">
        <v>50.45</v>
      </c>
      <c r="L156" s="10">
        <f t="shared" si="30"/>
        <v>44.648250000000004</v>
      </c>
      <c r="M156" s="11">
        <v>1</v>
      </c>
      <c r="N156" s="8">
        <f t="shared" si="31"/>
        <v>47.736153042641405</v>
      </c>
      <c r="O156" s="12">
        <f t="shared" si="32"/>
        <v>839.5372576729657</v>
      </c>
      <c r="P156" s="32" t="s">
        <v>29</v>
      </c>
      <c r="Q156" s="32" t="s">
        <v>88</v>
      </c>
      <c r="R156" s="31" t="s">
        <v>148</v>
      </c>
      <c r="S156" s="31" t="s">
        <v>69</v>
      </c>
      <c r="T156" t="s">
        <v>68</v>
      </c>
      <c r="U156" t="s">
        <v>96</v>
      </c>
      <c r="Y156" s="32" t="s">
        <v>29</v>
      </c>
      <c r="AF156" s="1"/>
      <c r="AG156" s="1"/>
      <c r="AH156" s="1"/>
      <c r="AI156" s="1"/>
      <c r="AJ156" s="1"/>
      <c r="AK156" s="1"/>
      <c r="AL156" s="1"/>
    </row>
    <row r="157" spans="1:38" ht="12.75">
      <c r="A157" s="45"/>
      <c r="B157" s="31" t="s">
        <v>260</v>
      </c>
      <c r="C157" s="29" t="s">
        <v>187</v>
      </c>
      <c r="D157">
        <v>0.88</v>
      </c>
      <c r="E157" s="13"/>
      <c r="F157" s="5">
        <v>134.36</v>
      </c>
      <c r="G157" s="8">
        <f t="shared" si="29"/>
        <v>118.23680000000002</v>
      </c>
      <c r="H157" s="5">
        <v>2</v>
      </c>
      <c r="I157" s="5">
        <v>19</v>
      </c>
      <c r="J157" s="5">
        <v>39</v>
      </c>
      <c r="K157" s="9">
        <v>57.73</v>
      </c>
      <c r="L157" s="10">
        <f t="shared" si="30"/>
        <v>50.8024</v>
      </c>
      <c r="M157" s="11">
        <v>0</v>
      </c>
      <c r="N157" s="8">
        <f t="shared" si="31"/>
        <v>47.387762347290945</v>
      </c>
      <c r="O157" s="12">
        <f t="shared" si="32"/>
        <v>833.4100993174939</v>
      </c>
      <c r="P157" s="49" t="s">
        <v>29</v>
      </c>
      <c r="Q157" s="32" t="s">
        <v>36</v>
      </c>
      <c r="R157" s="31" t="s">
        <v>87</v>
      </c>
      <c r="S157" s="31" t="s">
        <v>86</v>
      </c>
      <c r="T157" t="s">
        <v>252</v>
      </c>
      <c r="U157" t="s">
        <v>67</v>
      </c>
      <c r="V157" t="s">
        <v>68</v>
      </c>
      <c r="W157" t="s">
        <v>184</v>
      </c>
      <c r="Y157" s="32" t="s">
        <v>29</v>
      </c>
      <c r="AF157" s="1"/>
      <c r="AG157" s="1"/>
      <c r="AH157" s="1"/>
      <c r="AI157" s="1"/>
      <c r="AJ157" s="1"/>
      <c r="AK157" s="1"/>
      <c r="AL157" s="1"/>
    </row>
    <row r="158" spans="1:38" ht="12.75">
      <c r="A158" s="45"/>
      <c r="B158" s="31" t="s">
        <v>208</v>
      </c>
      <c r="C158" s="29" t="s">
        <v>272</v>
      </c>
      <c r="D158">
        <v>0.94</v>
      </c>
      <c r="E158" s="13"/>
      <c r="F158" s="5">
        <v>139.06</v>
      </c>
      <c r="G158" s="8">
        <f t="shared" si="29"/>
        <v>130.7164</v>
      </c>
      <c r="H158" s="5">
        <v>3</v>
      </c>
      <c r="I158" s="5">
        <v>3</v>
      </c>
      <c r="J158" s="5">
        <v>27</v>
      </c>
      <c r="K158" s="9">
        <v>45.48</v>
      </c>
      <c r="L158" s="10">
        <f t="shared" si="30"/>
        <v>42.7512</v>
      </c>
      <c r="M158" s="11">
        <v>0</v>
      </c>
      <c r="N158" s="8">
        <f t="shared" si="31"/>
        <v>42.51425995804866</v>
      </c>
      <c r="O158" s="12">
        <f t="shared" si="32"/>
        <v>747.6996561765835</v>
      </c>
      <c r="P158" s="32" t="s">
        <v>69</v>
      </c>
      <c r="Q158" s="32" t="s">
        <v>273</v>
      </c>
      <c r="R158" s="31" t="s">
        <v>70</v>
      </c>
      <c r="S158" s="31" t="s">
        <v>242</v>
      </c>
      <c r="T158" t="s">
        <v>274</v>
      </c>
      <c r="U158" t="s">
        <v>88</v>
      </c>
      <c r="Y158" s="32" t="s">
        <v>69</v>
      </c>
      <c r="AF158" s="1"/>
      <c r="AG158" s="1"/>
      <c r="AH158" s="1"/>
      <c r="AI158" s="1"/>
      <c r="AJ158" s="1"/>
      <c r="AK158" s="1"/>
      <c r="AL158" s="1"/>
    </row>
    <row r="159" spans="1:38" ht="12.75">
      <c r="A159" s="45"/>
      <c r="B159" s="31" t="s">
        <v>237</v>
      </c>
      <c r="C159" s="29" t="s">
        <v>275</v>
      </c>
      <c r="D159">
        <v>0.94</v>
      </c>
      <c r="E159" s="13"/>
      <c r="F159" s="5">
        <v>165.93</v>
      </c>
      <c r="G159" s="8">
        <f t="shared" si="29"/>
        <v>155.9742</v>
      </c>
      <c r="H159" s="5">
        <v>4</v>
      </c>
      <c r="I159" s="5">
        <v>38</v>
      </c>
      <c r="J159" s="5">
        <v>49</v>
      </c>
      <c r="K159" s="9">
        <v>35.71</v>
      </c>
      <c r="L159" s="10">
        <f t="shared" si="30"/>
        <v>33.5674</v>
      </c>
      <c r="M159" s="11">
        <v>0</v>
      </c>
      <c r="N159" s="8">
        <f t="shared" si="31"/>
        <v>37.03195611583918</v>
      </c>
      <c r="O159" s="12">
        <f t="shared" si="32"/>
        <v>651.2822023170918</v>
      </c>
      <c r="P159" s="49" t="s">
        <v>29</v>
      </c>
      <c r="Q159" s="32" t="s">
        <v>145</v>
      </c>
      <c r="R159" s="31" t="s">
        <v>146</v>
      </c>
      <c r="S159" s="31" t="s">
        <v>99</v>
      </c>
      <c r="T159" t="s">
        <v>29</v>
      </c>
      <c r="U159" t="s">
        <v>88</v>
      </c>
      <c r="V159" t="s">
        <v>93</v>
      </c>
      <c r="W159" t="s">
        <v>99</v>
      </c>
      <c r="Y159" s="32" t="s">
        <v>29</v>
      </c>
      <c r="AF159" s="1"/>
      <c r="AG159" s="1"/>
      <c r="AH159" s="1"/>
      <c r="AI159" s="1"/>
      <c r="AJ159" s="1"/>
      <c r="AK159" s="1"/>
      <c r="AL159" s="1"/>
    </row>
    <row r="160" spans="1:38" ht="12.75">
      <c r="A160" s="45"/>
      <c r="B160" s="31" t="s">
        <v>153</v>
      </c>
      <c r="C160" s="29" t="s">
        <v>122</v>
      </c>
      <c r="D160">
        <v>0.94</v>
      </c>
      <c r="E160" s="13"/>
      <c r="F160" s="5">
        <v>85.28</v>
      </c>
      <c r="G160" s="8">
        <f t="shared" si="29"/>
        <v>80.1632</v>
      </c>
      <c r="H160" s="5">
        <v>1</v>
      </c>
      <c r="I160" s="5">
        <v>57</v>
      </c>
      <c r="J160" s="5">
        <v>27</v>
      </c>
      <c r="K160" s="9">
        <v>43.57</v>
      </c>
      <c r="L160" s="10">
        <f t="shared" si="30"/>
        <v>40.955799999999996</v>
      </c>
      <c r="M160" s="11">
        <v>0</v>
      </c>
      <c r="N160" s="8">
        <f t="shared" si="31"/>
        <v>36.67187956159511</v>
      </c>
      <c r="O160" s="12">
        <f t="shared" si="32"/>
        <v>644.9495243857059</v>
      </c>
      <c r="P160" s="49" t="s">
        <v>29</v>
      </c>
      <c r="Q160" s="32" t="s">
        <v>35</v>
      </c>
      <c r="R160" s="31" t="s">
        <v>88</v>
      </c>
      <c r="S160" s="31"/>
      <c r="Y160" s="32" t="s">
        <v>29</v>
      </c>
      <c r="AF160" s="1"/>
      <c r="AG160" s="1"/>
      <c r="AH160" s="1"/>
      <c r="AI160" s="1"/>
      <c r="AJ160" s="1"/>
      <c r="AK160" s="1"/>
      <c r="AL160" s="1"/>
    </row>
    <row r="161" spans="1:38" ht="12.75">
      <c r="A161" s="45"/>
      <c r="B161" s="31" t="s">
        <v>237</v>
      </c>
      <c r="C161" s="29" t="s">
        <v>275</v>
      </c>
      <c r="D161">
        <v>0.94</v>
      </c>
      <c r="E161" s="13"/>
      <c r="F161" s="5">
        <v>114.24</v>
      </c>
      <c r="G161" s="8">
        <f t="shared" si="29"/>
        <v>107.38559999999998</v>
      </c>
      <c r="H161" s="5">
        <v>3</v>
      </c>
      <c r="I161" s="5">
        <v>3</v>
      </c>
      <c r="J161" s="5">
        <v>44</v>
      </c>
      <c r="K161" s="9">
        <v>37.31</v>
      </c>
      <c r="L161" s="10">
        <f t="shared" si="30"/>
        <v>35.0714</v>
      </c>
      <c r="M161" s="11">
        <v>1</v>
      </c>
      <c r="N161" s="8">
        <f t="shared" si="31"/>
        <v>35.93647290699011</v>
      </c>
      <c r="O161" s="12">
        <f t="shared" si="32"/>
        <v>632.0159039171687</v>
      </c>
      <c r="P161" s="49" t="s">
        <v>29</v>
      </c>
      <c r="Q161" s="32" t="s">
        <v>88</v>
      </c>
      <c r="R161" s="31" t="s">
        <v>93</v>
      </c>
      <c r="S161" s="31" t="s">
        <v>99</v>
      </c>
      <c r="Y161" s="32" t="s">
        <v>29</v>
      </c>
      <c r="AF161" s="1"/>
      <c r="AG161" s="1"/>
      <c r="AH161" s="1"/>
      <c r="AI161" s="1"/>
      <c r="AJ161" s="1"/>
      <c r="AK161" s="1"/>
      <c r="AL161" s="1"/>
    </row>
    <row r="162" spans="1:38" ht="12.75">
      <c r="A162" s="45"/>
      <c r="B162" s="31" t="s">
        <v>235</v>
      </c>
      <c r="C162" s="29" t="s">
        <v>122</v>
      </c>
      <c r="D162">
        <v>0.94</v>
      </c>
      <c r="E162" s="13"/>
      <c r="F162" s="5">
        <v>69.91</v>
      </c>
      <c r="G162" s="8">
        <f t="shared" si="29"/>
        <v>65.71539999999999</v>
      </c>
      <c r="H162" s="5">
        <v>1</v>
      </c>
      <c r="I162" s="5">
        <v>41</v>
      </c>
      <c r="J162" s="5">
        <v>15</v>
      </c>
      <c r="K162" s="9">
        <v>41.18</v>
      </c>
      <c r="L162" s="10">
        <f t="shared" si="30"/>
        <v>38.709199999999996</v>
      </c>
      <c r="M162" s="11">
        <v>0</v>
      </c>
      <c r="N162" s="8">
        <f t="shared" si="31"/>
        <v>33.43532091494845</v>
      </c>
      <c r="O162" s="12">
        <f t="shared" si="32"/>
        <v>588.0280634528096</v>
      </c>
      <c r="P162" s="49" t="s">
        <v>35</v>
      </c>
      <c r="Q162" s="32" t="s">
        <v>88</v>
      </c>
      <c r="R162" s="31" t="s">
        <v>69</v>
      </c>
      <c r="S162" s="31" t="s">
        <v>87</v>
      </c>
      <c r="T162" t="s">
        <v>86</v>
      </c>
      <c r="Y162" s="32" t="s">
        <v>276</v>
      </c>
      <c r="AF162" s="1"/>
      <c r="AG162" s="1"/>
      <c r="AH162" s="1"/>
      <c r="AI162" s="1"/>
      <c r="AJ162" s="1"/>
      <c r="AK162" s="1"/>
      <c r="AL162" s="1"/>
    </row>
    <row r="163" spans="1:38" ht="12.75">
      <c r="A163" s="45"/>
      <c r="B163" s="31"/>
      <c r="C163" s="29"/>
      <c r="E163" s="13"/>
      <c r="F163" s="5"/>
      <c r="G163" s="8"/>
      <c r="H163" s="5"/>
      <c r="I163" s="5"/>
      <c r="J163" s="5"/>
      <c r="K163" s="9"/>
      <c r="L163" s="10"/>
      <c r="M163" s="11"/>
      <c r="N163" s="8"/>
      <c r="O163" s="12"/>
      <c r="P163" s="32"/>
      <c r="Q163" s="32"/>
      <c r="R163" s="31"/>
      <c r="S163" s="31"/>
      <c r="Y163" s="32"/>
      <c r="AF163" s="1"/>
      <c r="AG163" s="1"/>
      <c r="AH163" s="1"/>
      <c r="AI163" s="1"/>
      <c r="AJ163" s="1"/>
      <c r="AK163" s="1"/>
      <c r="AL163" s="1"/>
    </row>
    <row r="164" spans="1:38" ht="12.75">
      <c r="A164" s="7">
        <v>40056</v>
      </c>
      <c r="B164" s="31" t="s">
        <v>222</v>
      </c>
      <c r="C164" s="29" t="s">
        <v>223</v>
      </c>
      <c r="D164">
        <v>0.925</v>
      </c>
      <c r="E164" s="13"/>
      <c r="F164" s="5">
        <v>146.14</v>
      </c>
      <c r="G164" s="8">
        <f aca="true" t="shared" si="33" ref="G164:G173">+(D164*(1-0.04*E164))*F164</f>
        <v>135.1795</v>
      </c>
      <c r="H164" s="5">
        <v>2</v>
      </c>
      <c r="I164" s="5">
        <v>43</v>
      </c>
      <c r="J164" s="5">
        <v>28</v>
      </c>
      <c r="K164" s="9">
        <v>53.64</v>
      </c>
      <c r="L164" s="10">
        <f>+K164*D164</f>
        <v>49.617000000000004</v>
      </c>
      <c r="M164" s="11">
        <v>1</v>
      </c>
      <c r="N164" s="8">
        <f>+K164*D164*(1-0.04*E164)*(1+0.05*MAX(H164+I164/60+J164/3600-1,0))*(1+0.03*$M164)*(H164+I164/60+J164/3600)/(H164+I164/60+J164/3600+1/3)</f>
        <v>49.46049362255814</v>
      </c>
      <c r="O164" s="12">
        <f>1000*(N164/MAX(N$164:N$166))</f>
        <v>1000</v>
      </c>
      <c r="P164" s="32" t="s">
        <v>29</v>
      </c>
      <c r="Q164" s="32" t="s">
        <v>278</v>
      </c>
      <c r="R164" s="31" t="s">
        <v>279</v>
      </c>
      <c r="S164" s="31" t="s">
        <v>36</v>
      </c>
      <c r="T164" t="s">
        <v>87</v>
      </c>
      <c r="U164" t="s">
        <v>86</v>
      </c>
      <c r="Y164" s="32" t="s">
        <v>29</v>
      </c>
      <c r="AF164" s="1"/>
      <c r="AG164" s="1"/>
      <c r="AH164" s="1"/>
      <c r="AI164" s="1"/>
      <c r="AJ164" s="1"/>
      <c r="AK164" s="1"/>
      <c r="AL164" s="1"/>
    </row>
    <row r="165" spans="1:38" ht="12.75">
      <c r="A165" s="7"/>
      <c r="B165" s="31" t="s">
        <v>280</v>
      </c>
      <c r="C165" s="29" t="s">
        <v>191</v>
      </c>
      <c r="D165">
        <v>0.885</v>
      </c>
      <c r="E165" s="13"/>
      <c r="F165" s="5">
        <v>138.09</v>
      </c>
      <c r="G165" s="8">
        <f t="shared" si="33"/>
        <v>122.20965000000001</v>
      </c>
      <c r="H165" s="5">
        <v>2</v>
      </c>
      <c r="I165" s="5">
        <v>34</v>
      </c>
      <c r="J165" s="5">
        <v>11</v>
      </c>
      <c r="K165" s="9">
        <v>53.74</v>
      </c>
      <c r="L165" s="10">
        <f>+K165*D165</f>
        <v>47.5599</v>
      </c>
      <c r="M165" s="11">
        <v>1</v>
      </c>
      <c r="N165" s="8">
        <f>+K165*D165*(1-0.04*E165)*(1+0.05*MAX(H165+I165/60+J165/3600-1,0))*(1+0.03*$M165)*(H165+I165/60+J165/3600)/(H165+I165/60+J165/3600+1/3)</f>
        <v>46.76528089672239</v>
      </c>
      <c r="O165" s="12">
        <f>1000*(N165/MAX(N$164:N$166))</f>
        <v>945.5077673424895</v>
      </c>
      <c r="P165" s="32" t="s">
        <v>29</v>
      </c>
      <c r="Q165" s="32" t="s">
        <v>278</v>
      </c>
      <c r="R165" s="31" t="s">
        <v>279</v>
      </c>
      <c r="S165" s="31" t="s">
        <v>36</v>
      </c>
      <c r="T165" t="s">
        <v>87</v>
      </c>
      <c r="Y165" s="32" t="s">
        <v>29</v>
      </c>
      <c r="AF165" s="1"/>
      <c r="AG165" s="1"/>
      <c r="AH165" s="1"/>
      <c r="AI165" s="1"/>
      <c r="AJ165" s="1"/>
      <c r="AK165" s="1"/>
      <c r="AL165" s="1"/>
    </row>
    <row r="166" spans="1:38" ht="12.75">
      <c r="A166" s="7"/>
      <c r="B166" s="31" t="s">
        <v>192</v>
      </c>
      <c r="C166" s="29" t="s">
        <v>191</v>
      </c>
      <c r="D166">
        <v>0.885</v>
      </c>
      <c r="E166" s="13"/>
      <c r="F166" s="5">
        <v>145.55</v>
      </c>
      <c r="G166" s="8">
        <f t="shared" si="33"/>
        <v>128.81175000000002</v>
      </c>
      <c r="H166" s="5">
        <v>2</v>
      </c>
      <c r="I166" s="5">
        <v>59</v>
      </c>
      <c r="J166" s="5">
        <v>49</v>
      </c>
      <c r="K166" s="9">
        <v>48.57</v>
      </c>
      <c r="L166" s="10">
        <f>+K166*D166</f>
        <v>42.98445</v>
      </c>
      <c r="M166" s="11">
        <v>1</v>
      </c>
      <c r="N166" s="8">
        <f>+K166*D166*(1-0.04*E166)*(1+0.05*MAX(H166+I166/60+J166/3600-1,0))*(1+0.03*$M166)*(H166+I166/60+J166/3600)/(H166+I166/60+J166/3600+1/3)</f>
        <v>43.82068822351856</v>
      </c>
      <c r="O166" s="12">
        <f>1000*(N166/MAX(N$164:N$166))</f>
        <v>885.9735318842966</v>
      </c>
      <c r="P166" s="32" t="s">
        <v>29</v>
      </c>
      <c r="Q166" s="32" t="s">
        <v>278</v>
      </c>
      <c r="R166" s="31" t="s">
        <v>279</v>
      </c>
      <c r="S166" s="31" t="s">
        <v>36</v>
      </c>
      <c r="T166" t="s">
        <v>87</v>
      </c>
      <c r="U166" t="s">
        <v>86</v>
      </c>
      <c r="Y166" s="32" t="s">
        <v>29</v>
      </c>
      <c r="AF166" s="1"/>
      <c r="AG166" s="1"/>
      <c r="AH166" s="1"/>
      <c r="AI166" s="1"/>
      <c r="AJ166" s="1"/>
      <c r="AK166" s="1"/>
      <c r="AL166" s="1"/>
    </row>
    <row r="167" spans="1:38" ht="12.75">
      <c r="A167" s="7"/>
      <c r="B167" s="31"/>
      <c r="C167" s="29"/>
      <c r="E167" s="13"/>
      <c r="F167" s="5"/>
      <c r="G167" s="8"/>
      <c r="H167" s="5"/>
      <c r="I167" s="5"/>
      <c r="J167" s="5"/>
      <c r="K167" s="9"/>
      <c r="L167" s="10"/>
      <c r="M167" s="11"/>
      <c r="N167" s="8"/>
      <c r="O167" s="12"/>
      <c r="P167" s="32"/>
      <c r="Q167" s="32"/>
      <c r="R167" s="31"/>
      <c r="S167" s="31"/>
      <c r="Y167" s="32"/>
      <c r="AF167" s="1"/>
      <c r="AG167" s="1"/>
      <c r="AH167" s="1"/>
      <c r="AI167" s="1"/>
      <c r="AJ167" s="1"/>
      <c r="AK167" s="1"/>
      <c r="AL167" s="1"/>
    </row>
    <row r="168" spans="1:38" ht="12.75">
      <c r="A168" s="7">
        <v>40058</v>
      </c>
      <c r="B168" s="31" t="s">
        <v>198</v>
      </c>
      <c r="C168" s="29" t="s">
        <v>199</v>
      </c>
      <c r="D168">
        <v>0.855</v>
      </c>
      <c r="E168" s="13"/>
      <c r="F168" s="5">
        <v>141.22</v>
      </c>
      <c r="G168" s="8">
        <f>+(D168*(1-0.04*E168))*F168</f>
        <v>120.7431</v>
      </c>
      <c r="H168" s="5">
        <v>3</v>
      </c>
      <c r="I168" s="5">
        <v>0</v>
      </c>
      <c r="J168" s="5">
        <v>23</v>
      </c>
      <c r="K168" s="9">
        <v>46.97</v>
      </c>
      <c r="L168" s="10">
        <f>+K168*D168</f>
        <v>40.159349999999996</v>
      </c>
      <c r="M168" s="11">
        <v>1</v>
      </c>
      <c r="N168" s="8">
        <f>+K168*D168*(1-0.04*E168)*(1+0.05*MAX(H168+I168/60+J168/3600-1,0))*(1+0.03*$M168)*(H168+I168/60+J168/3600)/(H168+I168/60+J168/3600+1/3)</f>
        <v>40.97108816462894</v>
      </c>
      <c r="O168" s="12">
        <f>1000*(N168/MAX(N$168:N$171))</f>
        <v>1000</v>
      </c>
      <c r="P168" s="32" t="s">
        <v>29</v>
      </c>
      <c r="Q168" s="32" t="s">
        <v>103</v>
      </c>
      <c r="R168" s="31" t="s">
        <v>164</v>
      </c>
      <c r="S168" s="31" t="s">
        <v>287</v>
      </c>
      <c r="T168" t="s">
        <v>284</v>
      </c>
      <c r="U168" t="s">
        <v>87</v>
      </c>
      <c r="V168" t="s">
        <v>36</v>
      </c>
      <c r="W168" t="s">
        <v>184</v>
      </c>
      <c r="Y168" s="32" t="s">
        <v>29</v>
      </c>
      <c r="AF168" s="1"/>
      <c r="AG168" s="1"/>
      <c r="AH168" s="1"/>
      <c r="AI168" s="1"/>
      <c r="AJ168" s="1"/>
      <c r="AK168" s="1"/>
      <c r="AL168" s="1"/>
    </row>
    <row r="169" spans="1:38" ht="12.75">
      <c r="A169" s="7"/>
      <c r="B169" s="31" t="s">
        <v>192</v>
      </c>
      <c r="C169" s="29" t="s">
        <v>203</v>
      </c>
      <c r="D169">
        <v>0.885</v>
      </c>
      <c r="E169" s="13"/>
      <c r="F169" s="5">
        <v>134.95</v>
      </c>
      <c r="G169" s="8">
        <f>+(D169*(1-0.04*E169))*F169</f>
        <v>119.43074999999999</v>
      </c>
      <c r="H169" s="5">
        <v>2</v>
      </c>
      <c r="I169" s="5">
        <v>51</v>
      </c>
      <c r="J169" s="5">
        <v>22</v>
      </c>
      <c r="K169" s="9">
        <v>47.25</v>
      </c>
      <c r="L169" s="10">
        <f>+K169*D169</f>
        <v>41.816250000000004</v>
      </c>
      <c r="M169" s="11">
        <v>0</v>
      </c>
      <c r="N169" s="8">
        <f>+K169*D169*(1-0.04*E169)*(1+0.05*MAX(H169+I169/60+J169/3600-1,0))*(1+0.03*$M169)*(H169+I169/60+J169/3600)/(H169+I169/60+J169/3600+1/3)</f>
        <v>40.92116928001437</v>
      </c>
      <c r="O169" s="12">
        <f>1000*(N169/MAX(N$168:N$171))</f>
        <v>998.7816070587633</v>
      </c>
      <c r="P169" s="32" t="s">
        <v>29</v>
      </c>
      <c r="Q169" s="32" t="s">
        <v>103</v>
      </c>
      <c r="R169" s="31" t="s">
        <v>164</v>
      </c>
      <c r="S169" s="31" t="s">
        <v>284</v>
      </c>
      <c r="T169" t="s">
        <v>87</v>
      </c>
      <c r="U169" t="s">
        <v>36</v>
      </c>
      <c r="V169" t="s">
        <v>99</v>
      </c>
      <c r="Y169" s="32" t="s">
        <v>29</v>
      </c>
      <c r="AF169" s="1"/>
      <c r="AG169" s="1"/>
      <c r="AH169" s="1"/>
      <c r="AI169" s="1"/>
      <c r="AJ169" s="1"/>
      <c r="AK169" s="1"/>
      <c r="AL169" s="1"/>
    </row>
    <row r="170" spans="1:38" ht="12.75">
      <c r="A170" s="7"/>
      <c r="B170" s="31" t="s">
        <v>192</v>
      </c>
      <c r="C170" s="29" t="s">
        <v>203</v>
      </c>
      <c r="D170">
        <v>0.885</v>
      </c>
      <c r="E170" s="13"/>
      <c r="F170" s="5">
        <v>134.95</v>
      </c>
      <c r="G170" s="8">
        <f>+(D170*(1-0.04*E170))*F170</f>
        <v>119.43074999999999</v>
      </c>
      <c r="H170" s="5">
        <v>3</v>
      </c>
      <c r="I170" s="5">
        <v>0</v>
      </c>
      <c r="J170" s="5">
        <v>0</v>
      </c>
      <c r="K170" s="9">
        <f>+F170/(H170)</f>
        <v>44.98333333333333</v>
      </c>
      <c r="L170" s="10">
        <f>+K170*D170</f>
        <v>39.810249999999996</v>
      </c>
      <c r="M170" s="11">
        <v>1</v>
      </c>
      <c r="N170" s="8">
        <f>+K170*D170*(1-0.04*E170)*(1+0.05*MAX(H170+I170/60+J170/3600-1,0))*(1+0.03*$M170)*(H170+I170/60+J170/3600)/(H170+I170/60+J170/3600+1/3)</f>
        <v>40.59451192499999</v>
      </c>
      <c r="O170" s="12">
        <f>1000*(N170/MAX(N$168:N$171))</f>
        <v>990.8087322915175</v>
      </c>
      <c r="P170" s="32" t="s">
        <v>29</v>
      </c>
      <c r="Q170" s="32" t="s">
        <v>103</v>
      </c>
      <c r="R170" s="31" t="s">
        <v>164</v>
      </c>
      <c r="S170" s="31" t="s">
        <v>284</v>
      </c>
      <c r="T170" t="s">
        <v>87</v>
      </c>
      <c r="U170" t="s">
        <v>36</v>
      </c>
      <c r="V170" t="s">
        <v>99</v>
      </c>
      <c r="Y170" s="32" t="s">
        <v>29</v>
      </c>
      <c r="AF170" s="1"/>
      <c r="AG170" s="1"/>
      <c r="AH170" s="1"/>
      <c r="AI170" s="1"/>
      <c r="AJ170" s="1"/>
      <c r="AK170" s="1"/>
      <c r="AL170" s="1"/>
    </row>
    <row r="171" spans="1:38" ht="12.75">
      <c r="A171" s="7"/>
      <c r="B171" s="31" t="s">
        <v>114</v>
      </c>
      <c r="C171" s="29" t="s">
        <v>115</v>
      </c>
      <c r="D171">
        <v>0.94</v>
      </c>
      <c r="E171" s="13"/>
      <c r="F171" s="5">
        <v>144.43</v>
      </c>
      <c r="G171" s="8">
        <f>+(D171*(1-0.04*E171))*F171</f>
        <v>135.7642</v>
      </c>
      <c r="H171" s="5">
        <v>4</v>
      </c>
      <c r="I171" s="5">
        <v>7</v>
      </c>
      <c r="J171" s="5">
        <v>59</v>
      </c>
      <c r="K171" s="9">
        <v>34.95</v>
      </c>
      <c r="L171" s="10">
        <f>+K171*D171</f>
        <v>32.853</v>
      </c>
      <c r="M171" s="11">
        <v>0</v>
      </c>
      <c r="N171" s="8">
        <f>+K171*D171*(1-0.04*E171)*(1+0.05*MAX(H171+I171/60+J171/3600-1,0))*(1+0.03*$M171)*(H171+I171/60+J171/3600)/(H171+I171/60+J171/3600+1/3)</f>
        <v>35.16355273750182</v>
      </c>
      <c r="O171" s="12">
        <f>1000*(N171/MAX(N$168:N$171))</f>
        <v>858.2528390802939</v>
      </c>
      <c r="P171" s="32" t="s">
        <v>69</v>
      </c>
      <c r="Q171" s="32" t="s">
        <v>35</v>
      </c>
      <c r="R171" s="31" t="s">
        <v>87</v>
      </c>
      <c r="S171" s="31" t="s">
        <v>93</v>
      </c>
      <c r="T171" t="s">
        <v>89</v>
      </c>
      <c r="U171" t="s">
        <v>107</v>
      </c>
      <c r="Y171" s="32" t="s">
        <v>69</v>
      </c>
      <c r="AF171" s="1"/>
      <c r="AG171" s="1"/>
      <c r="AH171" s="1"/>
      <c r="AI171" s="1"/>
      <c r="AJ171" s="1"/>
      <c r="AK171" s="1"/>
      <c r="AL171" s="1"/>
    </row>
    <row r="172" spans="1:38" ht="12.75">
      <c r="A172" s="7"/>
      <c r="B172" s="31" t="s">
        <v>222</v>
      </c>
      <c r="C172" s="29" t="s">
        <v>223</v>
      </c>
      <c r="D172">
        <v>0.925</v>
      </c>
      <c r="E172" s="13"/>
      <c r="F172" s="5">
        <v>116.88</v>
      </c>
      <c r="G172" s="8">
        <f t="shared" si="33"/>
        <v>108.114</v>
      </c>
      <c r="H172" s="5"/>
      <c r="I172" s="5"/>
      <c r="J172" s="5"/>
      <c r="K172" s="9"/>
      <c r="L172" s="10"/>
      <c r="M172" s="11"/>
      <c r="N172" s="8"/>
      <c r="O172" s="40">
        <f>MIN(600*(G172/MAX(G$168:G$171)),1000)</f>
        <v>477.8019536814566</v>
      </c>
      <c r="P172" s="32" t="s">
        <v>29</v>
      </c>
      <c r="Q172" s="32" t="s">
        <v>103</v>
      </c>
      <c r="R172" s="31" t="s">
        <v>164</v>
      </c>
      <c r="S172" s="31" t="s">
        <v>284</v>
      </c>
      <c r="T172" t="s">
        <v>87</v>
      </c>
      <c r="U172" t="s">
        <v>86</v>
      </c>
      <c r="V172" t="s">
        <v>285</v>
      </c>
      <c r="Y172" s="32" t="s">
        <v>286</v>
      </c>
      <c r="AF172" s="1"/>
      <c r="AG172" s="1"/>
      <c r="AH172" s="1"/>
      <c r="AI172" s="1"/>
      <c r="AJ172" s="1"/>
      <c r="AK172" s="1"/>
      <c r="AL172" s="1"/>
    </row>
    <row r="173" spans="1:38" ht="12.75">
      <c r="A173" s="7"/>
      <c r="B173" s="31" t="s">
        <v>153</v>
      </c>
      <c r="C173" s="29" t="s">
        <v>122</v>
      </c>
      <c r="D173">
        <v>0.94</v>
      </c>
      <c r="E173" s="13"/>
      <c r="F173" s="5">
        <v>111.2</v>
      </c>
      <c r="G173" s="8">
        <f t="shared" si="33"/>
        <v>104.52799999999999</v>
      </c>
      <c r="H173" s="5"/>
      <c r="I173" s="5"/>
      <c r="J173" s="5"/>
      <c r="K173" s="9"/>
      <c r="L173" s="10"/>
      <c r="M173" s="11"/>
      <c r="N173" s="8"/>
      <c r="O173" s="40">
        <f>MIN(600*(G173/MAX(G$168:G$171)),1000)</f>
        <v>461.95388769646195</v>
      </c>
      <c r="P173" s="32" t="s">
        <v>29</v>
      </c>
      <c r="Q173" s="32" t="s">
        <v>103</v>
      </c>
      <c r="R173" s="31" t="s">
        <v>164</v>
      </c>
      <c r="S173" s="31" t="s">
        <v>284</v>
      </c>
      <c r="T173" t="s">
        <v>36</v>
      </c>
      <c r="U173" t="s">
        <v>99</v>
      </c>
      <c r="Y173" s="32" t="s">
        <v>270</v>
      </c>
      <c r="AF173" s="1"/>
      <c r="AG173" s="1"/>
      <c r="AH173" s="1"/>
      <c r="AI173" s="1"/>
      <c r="AJ173" s="1"/>
      <c r="AK173" s="1"/>
      <c r="AL173" s="1"/>
    </row>
    <row r="174" spans="1:38" ht="12.75">
      <c r="A174" s="7"/>
      <c r="B174" s="31"/>
      <c r="C174" s="29"/>
      <c r="E174" s="13"/>
      <c r="F174" s="5"/>
      <c r="G174" s="8"/>
      <c r="H174" s="5"/>
      <c r="I174" s="5"/>
      <c r="J174" s="5"/>
      <c r="K174" s="9"/>
      <c r="L174" s="10"/>
      <c r="M174" s="11"/>
      <c r="N174" s="8"/>
      <c r="O174" s="12"/>
      <c r="P174" s="32"/>
      <c r="Q174" s="32"/>
      <c r="R174" s="31"/>
      <c r="S174" s="31"/>
      <c r="Y174" s="32"/>
      <c r="AF174" s="1"/>
      <c r="AG174" s="1"/>
      <c r="AH174" s="1"/>
      <c r="AI174" s="1"/>
      <c r="AJ174" s="1"/>
      <c r="AK174" s="1"/>
      <c r="AL174" s="1"/>
    </row>
    <row r="175" spans="1:38" ht="12.75">
      <c r="A175" s="7">
        <v>40059</v>
      </c>
      <c r="B175" s="31" t="s">
        <v>186</v>
      </c>
      <c r="C175" s="29" t="s">
        <v>66</v>
      </c>
      <c r="D175">
        <v>0.88</v>
      </c>
      <c r="E175" s="13"/>
      <c r="F175" s="5">
        <v>147.493</v>
      </c>
      <c r="G175" s="8">
        <f aca="true" t="shared" si="34" ref="G175:G195">+(D175*(1-0.04*E175))*F175</f>
        <v>129.79384</v>
      </c>
      <c r="H175" s="5">
        <v>2</v>
      </c>
      <c r="I175" s="5">
        <v>52</v>
      </c>
      <c r="J175" s="5">
        <v>35</v>
      </c>
      <c r="K175" s="9">
        <f>+F175/(H175+I175/60+J175/3600)</f>
        <v>51.277141477547076</v>
      </c>
      <c r="L175" s="10">
        <f aca="true" t="shared" si="35" ref="L175:L180">+K175*D175</f>
        <v>45.123884500241424</v>
      </c>
      <c r="M175" s="11">
        <v>1</v>
      </c>
      <c r="N175" s="8">
        <f aca="true" t="shared" si="36" ref="N175:N180">+K175*D175*(1-0.04*E175)*(1+0.05*MAX(H175+I175/60+J175/3600-1,0))*(1+0.03*$M175)*(H175+I175/60+J175/3600)/(H175+I175/60+J175/3600+1/3)</f>
        <v>45.55850837419299</v>
      </c>
      <c r="O175" s="12">
        <f aca="true" t="shared" si="37" ref="O175:O180">1000*(N175/MAX(N$175:N$181))</f>
        <v>1000</v>
      </c>
      <c r="P175" s="32" t="s">
        <v>29</v>
      </c>
      <c r="Q175" s="32" t="s">
        <v>96</v>
      </c>
      <c r="R175" s="31" t="s">
        <v>86</v>
      </c>
      <c r="S175" s="31" t="s">
        <v>145</v>
      </c>
      <c r="T175" t="s">
        <v>155</v>
      </c>
      <c r="U175" t="s">
        <v>68</v>
      </c>
      <c r="V175" t="s">
        <v>146</v>
      </c>
      <c r="W175" t="s">
        <v>29</v>
      </c>
      <c r="X175" t="s">
        <v>68</v>
      </c>
      <c r="Y175" s="32" t="s">
        <v>29</v>
      </c>
      <c r="AF175" s="1"/>
      <c r="AG175" s="1"/>
      <c r="AH175" s="1"/>
      <c r="AI175" s="1"/>
      <c r="AJ175" s="1"/>
      <c r="AK175" s="1"/>
      <c r="AL175" s="1"/>
    </row>
    <row r="176" spans="1:38" ht="12.75">
      <c r="A176" s="7"/>
      <c r="B176" s="31" t="s">
        <v>186</v>
      </c>
      <c r="C176" s="29" t="s">
        <v>66</v>
      </c>
      <c r="D176">
        <v>0.88</v>
      </c>
      <c r="E176" s="13"/>
      <c r="F176" s="5">
        <v>132.14</v>
      </c>
      <c r="G176" s="8">
        <f t="shared" si="34"/>
        <v>116.2832</v>
      </c>
      <c r="H176" s="5">
        <v>2</v>
      </c>
      <c r="I176" s="5">
        <v>31</v>
      </c>
      <c r="J176" s="5">
        <v>27</v>
      </c>
      <c r="K176" s="9">
        <v>52.35</v>
      </c>
      <c r="L176" s="10">
        <f t="shared" si="35"/>
        <v>46.068000000000005</v>
      </c>
      <c r="M176" s="11">
        <v>1</v>
      </c>
      <c r="N176" s="8">
        <f t="shared" si="36"/>
        <v>45.109158098712456</v>
      </c>
      <c r="O176" s="12">
        <f t="shared" si="37"/>
        <v>990.1368527742434</v>
      </c>
      <c r="P176" s="32" t="s">
        <v>29</v>
      </c>
      <c r="Q176" s="32" t="s">
        <v>96</v>
      </c>
      <c r="R176" s="31" t="s">
        <v>86</v>
      </c>
      <c r="S176" s="31" t="s">
        <v>145</v>
      </c>
      <c r="T176" t="s">
        <v>155</v>
      </c>
      <c r="U176" t="s">
        <v>68</v>
      </c>
      <c r="V176" t="s">
        <v>146</v>
      </c>
      <c r="Y176" s="32" t="s">
        <v>29</v>
      </c>
      <c r="AF176" s="1"/>
      <c r="AG176" s="1"/>
      <c r="AH176" s="1"/>
      <c r="AI176" s="1"/>
      <c r="AJ176" s="1"/>
      <c r="AK176" s="1"/>
      <c r="AL176" s="1"/>
    </row>
    <row r="177" spans="1:38" ht="12.75">
      <c r="A177" s="7"/>
      <c r="B177" s="31" t="s">
        <v>222</v>
      </c>
      <c r="C177" s="29" t="s">
        <v>223</v>
      </c>
      <c r="D177">
        <v>0.925</v>
      </c>
      <c r="E177" s="13"/>
      <c r="F177" s="5">
        <v>152.77</v>
      </c>
      <c r="G177" s="8">
        <f t="shared" si="34"/>
        <v>141.31225</v>
      </c>
      <c r="H177" s="5">
        <v>3</v>
      </c>
      <c r="I177" s="5">
        <v>35</v>
      </c>
      <c r="J177" s="5">
        <v>56</v>
      </c>
      <c r="K177" s="9">
        <v>42.45</v>
      </c>
      <c r="L177" s="10">
        <f t="shared" si="35"/>
        <v>39.26625000000001</v>
      </c>
      <c r="M177" s="11">
        <v>1</v>
      </c>
      <c r="N177" s="8">
        <f t="shared" si="36"/>
        <v>41.825787688832186</v>
      </c>
      <c r="O177" s="12">
        <f t="shared" si="37"/>
        <v>918.0675395537043</v>
      </c>
      <c r="P177" s="32" t="s">
        <v>29</v>
      </c>
      <c r="Q177" s="32" t="s">
        <v>96</v>
      </c>
      <c r="R177" s="31" t="s">
        <v>86</v>
      </c>
      <c r="S177" s="31" t="s">
        <v>99</v>
      </c>
      <c r="T177" t="s">
        <v>146</v>
      </c>
      <c r="U177" t="s">
        <v>29</v>
      </c>
      <c r="V177" t="s">
        <v>68</v>
      </c>
      <c r="W177" t="s">
        <v>29</v>
      </c>
      <c r="X177" t="s">
        <v>146</v>
      </c>
      <c r="Y177" s="32" t="s">
        <v>29</v>
      </c>
      <c r="AF177" s="1"/>
      <c r="AG177" s="1"/>
      <c r="AH177" s="1"/>
      <c r="AI177" s="1"/>
      <c r="AJ177" s="1"/>
      <c r="AK177" s="1"/>
      <c r="AL177" s="1"/>
    </row>
    <row r="178" spans="1:38" ht="12.75">
      <c r="A178" s="7"/>
      <c r="B178" s="31" t="s">
        <v>208</v>
      </c>
      <c r="C178" s="29" t="s">
        <v>272</v>
      </c>
      <c r="D178">
        <v>0.94</v>
      </c>
      <c r="E178" s="13"/>
      <c r="F178" s="5">
        <v>122.4</v>
      </c>
      <c r="G178" s="8">
        <f t="shared" si="34"/>
        <v>115.056</v>
      </c>
      <c r="H178" s="5">
        <v>3</v>
      </c>
      <c r="I178" s="5">
        <v>10</v>
      </c>
      <c r="J178" s="5">
        <v>52</v>
      </c>
      <c r="K178" s="9">
        <v>38.48</v>
      </c>
      <c r="L178" s="10">
        <f t="shared" si="35"/>
        <v>36.17119999999999</v>
      </c>
      <c r="M178" s="11">
        <v>0</v>
      </c>
      <c r="N178" s="8">
        <f t="shared" si="36"/>
        <v>36.31101381622228</v>
      </c>
      <c r="O178" s="12">
        <f t="shared" si="37"/>
        <v>797.0193738123122</v>
      </c>
      <c r="P178" s="32" t="s">
        <v>69</v>
      </c>
      <c r="Q178" s="32" t="s">
        <v>282</v>
      </c>
      <c r="R178" s="31" t="s">
        <v>88</v>
      </c>
      <c r="S178" s="31" t="s">
        <v>35</v>
      </c>
      <c r="T178" t="s">
        <v>93</v>
      </c>
      <c r="U178" t="s">
        <v>283</v>
      </c>
      <c r="V178" t="s">
        <v>88</v>
      </c>
      <c r="W178" t="s">
        <v>242</v>
      </c>
      <c r="Y178" s="32" t="s">
        <v>69</v>
      </c>
      <c r="AF178" s="1"/>
      <c r="AG178" s="1"/>
      <c r="AH178" s="1"/>
      <c r="AI178" s="1"/>
      <c r="AJ178" s="1"/>
      <c r="AK178" s="1"/>
      <c r="AL178" s="1"/>
    </row>
    <row r="179" spans="1:38" ht="12.75">
      <c r="A179" s="7"/>
      <c r="B179" s="31" t="s">
        <v>288</v>
      </c>
      <c r="C179" s="29" t="s">
        <v>232</v>
      </c>
      <c r="D179">
        <v>0.894</v>
      </c>
      <c r="E179" s="13"/>
      <c r="F179" s="5">
        <v>107.98</v>
      </c>
      <c r="G179" s="8">
        <f t="shared" si="34"/>
        <v>96.53412</v>
      </c>
      <c r="H179" s="5">
        <v>2</v>
      </c>
      <c r="I179" s="5">
        <v>32</v>
      </c>
      <c r="J179" s="5">
        <v>23</v>
      </c>
      <c r="K179" s="9">
        <v>42.52</v>
      </c>
      <c r="L179" s="10">
        <f t="shared" si="35"/>
        <v>38.01288</v>
      </c>
      <c r="M179" s="11">
        <v>0</v>
      </c>
      <c r="N179" s="8">
        <f t="shared" si="36"/>
        <v>36.18954079028103</v>
      </c>
      <c r="O179" s="12">
        <f t="shared" si="37"/>
        <v>794.3530655797525</v>
      </c>
      <c r="P179" s="32" t="s">
        <v>29</v>
      </c>
      <c r="Q179" s="32" t="s">
        <v>184</v>
      </c>
      <c r="R179" s="31" t="s">
        <v>67</v>
      </c>
      <c r="S179" s="31" t="s">
        <v>36</v>
      </c>
      <c r="T179" t="s">
        <v>96</v>
      </c>
      <c r="U179" t="s">
        <v>86</v>
      </c>
      <c r="V179" t="s">
        <v>29</v>
      </c>
      <c r="W179" t="s">
        <v>184</v>
      </c>
      <c r="X179" t="s">
        <v>67</v>
      </c>
      <c r="Y179" s="32" t="s">
        <v>29</v>
      </c>
      <c r="AF179" s="1"/>
      <c r="AG179" s="1"/>
      <c r="AH179" s="1"/>
      <c r="AI179" s="1"/>
      <c r="AJ179" s="1"/>
      <c r="AK179" s="1"/>
      <c r="AL179" s="1"/>
    </row>
    <row r="180" spans="1:38" ht="12.75">
      <c r="A180" s="7"/>
      <c r="B180" s="31" t="s">
        <v>288</v>
      </c>
      <c r="C180" s="29" t="s">
        <v>232</v>
      </c>
      <c r="D180">
        <v>0.894</v>
      </c>
      <c r="E180" s="13"/>
      <c r="F180" s="5">
        <v>90.52</v>
      </c>
      <c r="G180" s="8">
        <f t="shared" si="34"/>
        <v>80.92488</v>
      </c>
      <c r="H180" s="5">
        <v>2</v>
      </c>
      <c r="I180" s="5">
        <v>6</v>
      </c>
      <c r="J180" s="5">
        <v>33</v>
      </c>
      <c r="K180" s="9">
        <v>42.92</v>
      </c>
      <c r="L180" s="10">
        <f t="shared" si="35"/>
        <v>38.37048</v>
      </c>
      <c r="M180" s="11">
        <v>0</v>
      </c>
      <c r="N180" s="8">
        <f t="shared" si="36"/>
        <v>34.97153152643126</v>
      </c>
      <c r="O180" s="12">
        <f t="shared" si="37"/>
        <v>767.6180097731467</v>
      </c>
      <c r="P180" s="32" t="s">
        <v>29</v>
      </c>
      <c r="Q180" s="32" t="s">
        <v>184</v>
      </c>
      <c r="R180" s="31" t="s">
        <v>67</v>
      </c>
      <c r="S180" s="31" t="s">
        <v>36</v>
      </c>
      <c r="T180" t="s">
        <v>96</v>
      </c>
      <c r="U180" t="s">
        <v>86</v>
      </c>
      <c r="Y180" s="32" t="s">
        <v>29</v>
      </c>
      <c r="AF180" s="1"/>
      <c r="AG180" s="1"/>
      <c r="AH180" s="1"/>
      <c r="AI180" s="1"/>
      <c r="AJ180" s="1"/>
      <c r="AK180" s="1"/>
      <c r="AL180" s="1"/>
    </row>
    <row r="181" spans="1:38" ht="12.75">
      <c r="A181" s="7"/>
      <c r="B181" s="31" t="s">
        <v>198</v>
      </c>
      <c r="C181" s="29" t="s">
        <v>199</v>
      </c>
      <c r="D181">
        <v>0.855</v>
      </c>
      <c r="E181" s="13"/>
      <c r="F181" s="5">
        <v>36.49</v>
      </c>
      <c r="G181" s="8">
        <f t="shared" si="34"/>
        <v>31.19895</v>
      </c>
      <c r="H181" s="5"/>
      <c r="I181" s="5"/>
      <c r="J181" s="5"/>
      <c r="K181" s="9"/>
      <c r="L181" s="10"/>
      <c r="M181" s="11"/>
      <c r="N181" s="8"/>
      <c r="O181" s="40">
        <f>MIN(600*(G181/MAX(G$174:G$181)),1000)</f>
        <v>132.46813351284123</v>
      </c>
      <c r="P181" s="32" t="s">
        <v>29</v>
      </c>
      <c r="Q181" s="32" t="s">
        <v>96</v>
      </c>
      <c r="R181" s="31"/>
      <c r="S181" s="31"/>
      <c r="Y181" s="32" t="s">
        <v>281</v>
      </c>
      <c r="AF181" s="1"/>
      <c r="AG181" s="1"/>
      <c r="AH181" s="1"/>
      <c r="AI181" s="1"/>
      <c r="AJ181" s="1"/>
      <c r="AK181" s="1"/>
      <c r="AL181" s="1"/>
    </row>
    <row r="182" spans="1:38" ht="12.75">
      <c r="A182" s="7"/>
      <c r="B182" s="31"/>
      <c r="C182" s="29"/>
      <c r="E182" s="13"/>
      <c r="F182" s="5"/>
      <c r="G182" s="8"/>
      <c r="H182" s="5"/>
      <c r="I182" s="5"/>
      <c r="J182" s="5"/>
      <c r="K182" s="9"/>
      <c r="L182" s="10"/>
      <c r="M182" s="11"/>
      <c r="N182" s="8"/>
      <c r="O182" s="40"/>
      <c r="P182" s="32"/>
      <c r="Q182" s="32"/>
      <c r="R182" s="31"/>
      <c r="S182" s="31"/>
      <c r="Y182" s="32"/>
      <c r="AF182" s="1"/>
      <c r="AG182" s="1"/>
      <c r="AH182" s="1"/>
      <c r="AI182" s="1"/>
      <c r="AJ182" s="1"/>
      <c r="AK182" s="1"/>
      <c r="AL182" s="1"/>
    </row>
    <row r="183" spans="1:38" ht="12.75">
      <c r="A183" s="7">
        <v>40061</v>
      </c>
      <c r="B183" s="31" t="s">
        <v>186</v>
      </c>
      <c r="C183" s="29" t="s">
        <v>187</v>
      </c>
      <c r="D183">
        <v>0.88</v>
      </c>
      <c r="E183" s="13"/>
      <c r="F183" s="5">
        <v>79.32</v>
      </c>
      <c r="G183" s="8">
        <f t="shared" si="34"/>
        <v>69.8016</v>
      </c>
      <c r="H183" s="5">
        <v>1</v>
      </c>
      <c r="I183" s="5">
        <v>17</v>
      </c>
      <c r="J183" s="5">
        <v>42</v>
      </c>
      <c r="K183" s="9">
        <v>61.25</v>
      </c>
      <c r="L183" s="10">
        <f>+K183*D183</f>
        <v>53.9</v>
      </c>
      <c r="M183" s="11">
        <v>1</v>
      </c>
      <c r="N183" s="8">
        <f>+K183*D183*(1-0.04*E183)*(1+0.05*MAX(H183+I183/60+J183/3600-1,0))*(1+0.03*$M183)*(H183+I183/60+J183/3600)/(H183+I183/60+J183/3600+1/3)</f>
        <v>44.80345492093142</v>
      </c>
      <c r="O183" s="12">
        <f>1000*(N183/MAX(N$183:N$185))</f>
        <v>1000</v>
      </c>
      <c r="P183" s="32" t="s">
        <v>29</v>
      </c>
      <c r="Q183" s="32" t="s">
        <v>289</v>
      </c>
      <c r="R183" s="31" t="s">
        <v>29</v>
      </c>
      <c r="S183" s="31" t="s">
        <v>145</v>
      </c>
      <c r="T183" t="s">
        <v>68</v>
      </c>
      <c r="Y183" s="32" t="s">
        <v>29</v>
      </c>
      <c r="AF183" s="1"/>
      <c r="AG183" s="1"/>
      <c r="AH183" s="1"/>
      <c r="AI183" s="1"/>
      <c r="AJ183" s="1"/>
      <c r="AK183" s="1"/>
      <c r="AL183" s="1"/>
    </row>
    <row r="184" spans="1:38" ht="12.75">
      <c r="A184" s="7"/>
      <c r="B184" s="31" t="s">
        <v>105</v>
      </c>
      <c r="C184" s="29" t="s">
        <v>101</v>
      </c>
      <c r="D184">
        <v>0.925</v>
      </c>
      <c r="E184" s="13"/>
      <c r="F184" s="5">
        <v>123.36</v>
      </c>
      <c r="G184" s="8">
        <f t="shared" si="34"/>
        <v>114.108</v>
      </c>
      <c r="H184" s="5">
        <v>3</v>
      </c>
      <c r="I184" s="5">
        <v>0</v>
      </c>
      <c r="J184" s="5">
        <v>18</v>
      </c>
      <c r="K184" s="9">
        <v>41.05</v>
      </c>
      <c r="L184" s="10">
        <f>+K184*D184</f>
        <v>37.97125</v>
      </c>
      <c r="M184" s="11">
        <v>1</v>
      </c>
      <c r="N184" s="8">
        <f>+K184*D184*(1-0.04*E184)*(1+0.05*MAX(H184+I184/60+J184/3600-1,0))*(1+0.03*$M184)*(H184+I184/60+J184/3600)/(H184+I184/60+J184/3600+1/3)</f>
        <v>38.73452847524494</v>
      </c>
      <c r="O184" s="12">
        <f>1000*(N184/MAX(N$183:N$185))</f>
        <v>864.5433380886174</v>
      </c>
      <c r="P184" s="32" t="s">
        <v>29</v>
      </c>
      <c r="Q184" s="32" t="s">
        <v>36</v>
      </c>
      <c r="R184" s="31" t="s">
        <v>86</v>
      </c>
      <c r="S184" s="31" t="s">
        <v>69</v>
      </c>
      <c r="T184" t="s">
        <v>35</v>
      </c>
      <c r="U184" t="s">
        <v>86</v>
      </c>
      <c r="Y184" s="32" t="s">
        <v>100</v>
      </c>
      <c r="AF184" s="1"/>
      <c r="AG184" s="1"/>
      <c r="AH184" s="1"/>
      <c r="AI184" s="1"/>
      <c r="AJ184" s="1"/>
      <c r="AK184" s="1"/>
      <c r="AL184" s="1"/>
    </row>
    <row r="185" spans="1:38" ht="12.75">
      <c r="A185" s="7"/>
      <c r="B185" s="31" t="s">
        <v>260</v>
      </c>
      <c r="C185" s="29" t="s">
        <v>187</v>
      </c>
      <c r="D185">
        <v>0.88</v>
      </c>
      <c r="E185" s="13"/>
      <c r="F185" s="5">
        <v>73.73</v>
      </c>
      <c r="G185" s="8">
        <f t="shared" si="34"/>
        <v>64.8824</v>
      </c>
      <c r="H185" s="5">
        <v>1</v>
      </c>
      <c r="I185" s="5">
        <v>36</v>
      </c>
      <c r="J185" s="5">
        <v>26</v>
      </c>
      <c r="K185" s="9">
        <v>45.66</v>
      </c>
      <c r="L185" s="10">
        <f>+K185*D185</f>
        <v>40.1808</v>
      </c>
      <c r="M185" s="11">
        <v>1</v>
      </c>
      <c r="N185" s="8">
        <f>+K185*D185*(1-0.04*E185)*(1+0.05*MAX(H185+I185/60+J185/3600-1,0))*(1+0.03*$M185)*(H185+I185/60+J185/3600)/(H185+I185/60+J185/3600+1/3)</f>
        <v>35.317919373389444</v>
      </c>
      <c r="O185" s="12">
        <f>1000*(N185/MAX(N$183:N$185))</f>
        <v>788.2856229663107</v>
      </c>
      <c r="P185" s="32" t="s">
        <v>29</v>
      </c>
      <c r="Q185" s="32" t="s">
        <v>183</v>
      </c>
      <c r="R185" s="31" t="s">
        <v>99</v>
      </c>
      <c r="S185" s="31" t="s">
        <v>184</v>
      </c>
      <c r="T185" t="s">
        <v>67</v>
      </c>
      <c r="U185" t="s">
        <v>183</v>
      </c>
      <c r="V185" t="s">
        <v>184</v>
      </c>
      <c r="W185" t="s">
        <v>67</v>
      </c>
      <c r="X185" t="s">
        <v>183</v>
      </c>
      <c r="Y185" s="32" t="s">
        <v>29</v>
      </c>
      <c r="AF185" s="1"/>
      <c r="AG185" s="1"/>
      <c r="AH185" s="1"/>
      <c r="AI185" s="1"/>
      <c r="AJ185" s="1"/>
      <c r="AK185" s="1"/>
      <c r="AL185" s="1"/>
    </row>
    <row r="186" spans="1:38" ht="15.75">
      <c r="A186" s="7"/>
      <c r="B186" s="51" t="s">
        <v>295</v>
      </c>
      <c r="C186" s="29" t="s">
        <v>296</v>
      </c>
      <c r="D186">
        <v>0.95</v>
      </c>
      <c r="E186" s="13"/>
      <c r="F186" s="5">
        <v>60.28</v>
      </c>
      <c r="G186" s="8">
        <f t="shared" si="34"/>
        <v>57.266</v>
      </c>
      <c r="H186" s="5"/>
      <c r="I186" s="5"/>
      <c r="J186" s="5"/>
      <c r="K186" s="9"/>
      <c r="L186" s="10"/>
      <c r="M186" s="11"/>
      <c r="N186" s="8"/>
      <c r="O186" s="40">
        <f>MIN(600*(G186/MAX(G$183:G$185)),1000)</f>
        <v>301.1147334104532</v>
      </c>
      <c r="P186" s="32" t="s">
        <v>293</v>
      </c>
      <c r="Q186" s="32" t="s">
        <v>88</v>
      </c>
      <c r="R186" s="31" t="s">
        <v>69</v>
      </c>
      <c r="S186" s="31" t="s">
        <v>70</v>
      </c>
      <c r="Y186" s="32" t="s">
        <v>294</v>
      </c>
      <c r="AF186" s="1"/>
      <c r="AG186" s="1"/>
      <c r="AH186" s="1"/>
      <c r="AI186" s="1"/>
      <c r="AJ186" s="1"/>
      <c r="AK186" s="1"/>
      <c r="AL186" s="1"/>
    </row>
    <row r="187" spans="1:38" ht="12.75">
      <c r="A187" s="7"/>
      <c r="B187" s="31"/>
      <c r="C187" s="29"/>
      <c r="E187" s="13"/>
      <c r="F187" s="5"/>
      <c r="G187" s="8"/>
      <c r="H187" s="5"/>
      <c r="I187" s="5"/>
      <c r="J187" s="5"/>
      <c r="K187" s="9"/>
      <c r="L187" s="10"/>
      <c r="M187" s="11"/>
      <c r="N187" s="8"/>
      <c r="O187" s="12"/>
      <c r="P187" s="32"/>
      <c r="Q187" s="32"/>
      <c r="R187" s="31"/>
      <c r="S187" s="31"/>
      <c r="Y187" s="32"/>
      <c r="AF187" s="1"/>
      <c r="AG187" s="1"/>
      <c r="AH187" s="1"/>
      <c r="AI187" s="1"/>
      <c r="AJ187" s="1"/>
      <c r="AK187" s="1"/>
      <c r="AL187" s="1"/>
    </row>
    <row r="188" spans="1:38" ht="12.75">
      <c r="A188" s="7">
        <v>40063</v>
      </c>
      <c r="B188" s="31" t="s">
        <v>105</v>
      </c>
      <c r="C188" s="29" t="s">
        <v>290</v>
      </c>
      <c r="D188">
        <v>0.925</v>
      </c>
      <c r="E188" s="13"/>
      <c r="F188" s="5">
        <v>134.25</v>
      </c>
      <c r="G188" s="8">
        <f t="shared" si="34"/>
        <v>124.18125</v>
      </c>
      <c r="H188" s="5">
        <v>2</v>
      </c>
      <c r="I188" s="5">
        <v>42</v>
      </c>
      <c r="J188" s="5">
        <v>31</v>
      </c>
      <c r="K188" s="9">
        <v>49.56</v>
      </c>
      <c r="L188" s="10">
        <f>+K188*D188</f>
        <v>45.843</v>
      </c>
      <c r="M188" s="11">
        <v>1</v>
      </c>
      <c r="N188" s="8">
        <f>+K188*D188*(1-0.04*E188)*(1+0.05*MAX(H188+I188/60+J188/3600-1,0))*(1+0.03*$M188)*(H188+I188/60+J188/3600)/(H188+I188/60+J188/3600+1/3)</f>
        <v>45.63601095414205</v>
      </c>
      <c r="O188" s="12">
        <f>1000*(N188/MAX(N$187:N$190))</f>
        <v>1000</v>
      </c>
      <c r="P188" s="32" t="s">
        <v>29</v>
      </c>
      <c r="Q188" s="32" t="s">
        <v>86</v>
      </c>
      <c r="R188" s="31" t="s">
        <v>87</v>
      </c>
      <c r="S188" s="31" t="s">
        <v>277</v>
      </c>
      <c r="T188" t="s">
        <v>69</v>
      </c>
      <c r="U188" t="s">
        <v>88</v>
      </c>
      <c r="V188" t="s">
        <v>87</v>
      </c>
      <c r="W188" t="s">
        <v>36</v>
      </c>
      <c r="Y188" s="32" t="s">
        <v>29</v>
      </c>
      <c r="AF188" s="1"/>
      <c r="AG188" s="1"/>
      <c r="AH188" s="1"/>
      <c r="AI188" s="1"/>
      <c r="AJ188" s="1"/>
      <c r="AK188" s="1"/>
      <c r="AL188" s="1"/>
    </row>
    <row r="189" spans="1:38" ht="12.75">
      <c r="A189" s="7"/>
      <c r="B189" s="31" t="s">
        <v>222</v>
      </c>
      <c r="C189" s="29" t="s">
        <v>292</v>
      </c>
      <c r="D189">
        <v>0.925</v>
      </c>
      <c r="E189" s="13"/>
      <c r="F189" s="5">
        <v>94.03</v>
      </c>
      <c r="G189" s="8">
        <f t="shared" si="34"/>
        <v>86.97775</v>
      </c>
      <c r="H189" s="5">
        <v>2</v>
      </c>
      <c r="I189" s="5">
        <v>10</v>
      </c>
      <c r="J189" s="5">
        <v>57</v>
      </c>
      <c r="K189" s="9">
        <v>43.08</v>
      </c>
      <c r="L189" s="10">
        <f>+K189*D189</f>
        <v>39.849000000000004</v>
      </c>
      <c r="M189" s="11">
        <v>1</v>
      </c>
      <c r="N189" s="8">
        <f>+K189*D189*(1-0.04*E189)*(1+0.05*MAX(H189+I189/60+J189/3600-1,0))*(1+0.03*$M189)*(H189+I189/60+J189/3600)/(H189+I189/60+J189/3600+1/3)</f>
        <v>37.71153905671952</v>
      </c>
      <c r="O189" s="12">
        <f>1000*(N189/MAX(N$187:N$190))</f>
        <v>826.3548515363111</v>
      </c>
      <c r="P189" s="32" t="s">
        <v>29</v>
      </c>
      <c r="Q189" s="32" t="s">
        <v>86</v>
      </c>
      <c r="R189" s="31" t="s">
        <v>87</v>
      </c>
      <c r="S189" s="31" t="s">
        <v>88</v>
      </c>
      <c r="T189" t="s">
        <v>86</v>
      </c>
      <c r="U189" t="s">
        <v>36</v>
      </c>
      <c r="Y189" s="32" t="s">
        <v>29</v>
      </c>
      <c r="AF189" s="1"/>
      <c r="AG189" s="1"/>
      <c r="AH189" s="1"/>
      <c r="AI189" s="1"/>
      <c r="AJ189" s="1"/>
      <c r="AK189" s="1"/>
      <c r="AL189" s="1"/>
    </row>
    <row r="190" spans="1:38" ht="12.75">
      <c r="A190" s="7"/>
      <c r="B190" s="31" t="s">
        <v>231</v>
      </c>
      <c r="C190" s="29" t="s">
        <v>291</v>
      </c>
      <c r="D190">
        <v>0.894</v>
      </c>
      <c r="E190" s="13"/>
      <c r="F190" s="5">
        <v>67.63</v>
      </c>
      <c r="G190" s="8">
        <f t="shared" si="34"/>
        <v>60.46122</v>
      </c>
      <c r="H190" s="5">
        <v>2</v>
      </c>
      <c r="I190" s="5">
        <v>25</v>
      </c>
      <c r="J190" s="5">
        <v>42</v>
      </c>
      <c r="K190" s="9">
        <v>27.85</v>
      </c>
      <c r="L190" s="10">
        <f>+K190*D190</f>
        <v>24.897900000000003</v>
      </c>
      <c r="M190" s="11">
        <v>1</v>
      </c>
      <c r="N190" s="8">
        <f>+K190*D190*(1-0.04*E190)*(1+0.05*MAX(H190+I190/60+J190/3600-1,0))*(1+0.03*$M190)*(H190+I190/60+J190/3600)/(H190+I190/60+J190/3600+1/3)</f>
        <v>24.159914010421097</v>
      </c>
      <c r="O190" s="12">
        <f>1000*(N190/MAX(N$187:N$190))</f>
        <v>529.4045974942575</v>
      </c>
      <c r="P190" s="32" t="s">
        <v>29</v>
      </c>
      <c r="Q190" s="32" t="s">
        <v>68</v>
      </c>
      <c r="R190" s="31" t="s">
        <v>184</v>
      </c>
      <c r="S190" s="31" t="s">
        <v>67</v>
      </c>
      <c r="T190" t="s">
        <v>146</v>
      </c>
      <c r="U190" t="s">
        <v>29</v>
      </c>
      <c r="V190" t="s">
        <v>184</v>
      </c>
      <c r="W190" t="s">
        <v>99</v>
      </c>
      <c r="Y190" s="32" t="s">
        <v>29</v>
      </c>
      <c r="AF190" s="1"/>
      <c r="AG190" s="1"/>
      <c r="AH190" s="1"/>
      <c r="AI190" s="1"/>
      <c r="AJ190" s="1"/>
      <c r="AK190" s="1"/>
      <c r="AL190" s="1"/>
    </row>
    <row r="191" spans="1:38" ht="12.75">
      <c r="A191" s="7"/>
      <c r="B191" s="31"/>
      <c r="C191" s="29"/>
      <c r="E191" s="13"/>
      <c r="F191" s="5"/>
      <c r="G191" s="8">
        <f t="shared" si="34"/>
        <v>0</v>
      </c>
      <c r="H191" s="5"/>
      <c r="I191" s="5"/>
      <c r="J191" s="5"/>
      <c r="K191" s="9"/>
      <c r="L191" s="10"/>
      <c r="M191" s="11"/>
      <c r="N191" s="8"/>
      <c r="O191" s="12"/>
      <c r="P191" s="32"/>
      <c r="Q191" s="32"/>
      <c r="R191" s="31"/>
      <c r="S191" s="31"/>
      <c r="Y191" s="32"/>
      <c r="AF191" s="1"/>
      <c r="AG191" s="1"/>
      <c r="AH191" s="1"/>
      <c r="AI191" s="1"/>
      <c r="AJ191" s="1"/>
      <c r="AK191" s="1"/>
      <c r="AL191" s="1"/>
    </row>
    <row r="192" spans="1:38" ht="12.75">
      <c r="A192" s="7">
        <v>40076</v>
      </c>
      <c r="B192" s="31" t="s">
        <v>186</v>
      </c>
      <c r="C192" s="29" t="s">
        <v>187</v>
      </c>
      <c r="D192">
        <v>0.88</v>
      </c>
      <c r="E192" s="13"/>
      <c r="F192" s="5">
        <v>133.41</v>
      </c>
      <c r="G192" s="8">
        <f t="shared" si="34"/>
        <v>117.4008</v>
      </c>
      <c r="H192" s="5">
        <v>2</v>
      </c>
      <c r="I192" s="5">
        <v>36</v>
      </c>
      <c r="J192" s="5">
        <v>20</v>
      </c>
      <c r="K192" s="9">
        <v>51.3</v>
      </c>
      <c r="L192" s="10">
        <f>+K192*D192</f>
        <v>45.144</v>
      </c>
      <c r="M192" s="11">
        <v>0</v>
      </c>
      <c r="N192" s="8">
        <f>+K192*D192*(1-0.04*E192)*(1+0.05*MAX(H192+I192/60+J192/3600-1,0))*(1+0.03*$M192)*(H192+I192/60+J192/3600)/(H192+I192/60+J192/3600+1/3)</f>
        <v>43.236711039697546</v>
      </c>
      <c r="O192" s="12">
        <f>1000*(N192/MAX(N$192:N$194))</f>
        <v>1000</v>
      </c>
      <c r="P192" s="32" t="s">
        <v>29</v>
      </c>
      <c r="Q192" s="32" t="s">
        <v>96</v>
      </c>
      <c r="R192" s="31" t="s">
        <v>36</v>
      </c>
      <c r="S192" s="31" t="s">
        <v>68</v>
      </c>
      <c r="T192" t="s">
        <v>279</v>
      </c>
      <c r="Y192" s="32" t="s">
        <v>29</v>
      </c>
      <c r="AF192" s="1"/>
      <c r="AG192" s="1"/>
      <c r="AH192" s="1"/>
      <c r="AI192" s="1"/>
      <c r="AJ192" s="1"/>
      <c r="AK192" s="1"/>
      <c r="AL192" s="1"/>
    </row>
    <row r="193" spans="1:38" ht="12.75">
      <c r="A193" s="7"/>
      <c r="B193" s="31" t="s">
        <v>260</v>
      </c>
      <c r="C193" s="29" t="s">
        <v>187</v>
      </c>
      <c r="D193">
        <v>0.88</v>
      </c>
      <c r="E193" s="13"/>
      <c r="F193" s="5">
        <v>94.79</v>
      </c>
      <c r="G193" s="8">
        <f t="shared" si="34"/>
        <v>83.41520000000001</v>
      </c>
      <c r="H193" s="5">
        <v>2</v>
      </c>
      <c r="I193" s="5">
        <v>2</v>
      </c>
      <c r="J193" s="5">
        <v>21</v>
      </c>
      <c r="K193" s="9">
        <v>46.84</v>
      </c>
      <c r="L193" s="10">
        <f>+K193*D193</f>
        <v>41.2192</v>
      </c>
      <c r="M193" s="11">
        <v>1</v>
      </c>
      <c r="N193" s="8">
        <f>+K193*D193*(1-0.04*E193)*(1+0.05*MAX(H193+I193/60+J193/3600-1,0))*(1+0.03*$M193)*(H193+I193/60+J193/3600)/(H193+I193/60+J193/3600+1/3)</f>
        <v>38.38679238257207</v>
      </c>
      <c r="O193" s="12">
        <f>1000*(N193/MAX(N$192:N$194))</f>
        <v>887.8286867686918</v>
      </c>
      <c r="P193" s="32" t="s">
        <v>29</v>
      </c>
      <c r="Q193" s="32" t="s">
        <v>86</v>
      </c>
      <c r="R193" s="31" t="s">
        <v>298</v>
      </c>
      <c r="S193" s="31" t="s">
        <v>155</v>
      </c>
      <c r="T193" t="s">
        <v>68</v>
      </c>
      <c r="Y193" s="32" t="s">
        <v>29</v>
      </c>
      <c r="AF193" s="1"/>
      <c r="AG193" s="1"/>
      <c r="AH193" s="1"/>
      <c r="AI193" s="1"/>
      <c r="AJ193" s="1"/>
      <c r="AK193" s="1"/>
      <c r="AL193" s="1"/>
    </row>
    <row r="194" spans="1:38" ht="12.75">
      <c r="A194" s="7"/>
      <c r="B194" s="31" t="s">
        <v>222</v>
      </c>
      <c r="C194" s="29" t="s">
        <v>223</v>
      </c>
      <c r="D194">
        <v>0.925</v>
      </c>
      <c r="E194" s="13"/>
      <c r="F194" s="5">
        <v>100.39</v>
      </c>
      <c r="G194" s="8">
        <f t="shared" si="34"/>
        <v>92.86075000000001</v>
      </c>
      <c r="H194" s="5">
        <v>2</v>
      </c>
      <c r="I194" s="5">
        <v>28</v>
      </c>
      <c r="J194" s="5">
        <v>19</v>
      </c>
      <c r="K194" s="9">
        <v>40.61</v>
      </c>
      <c r="L194" s="10">
        <f>+K194*D194</f>
        <v>37.56425</v>
      </c>
      <c r="M194" s="11">
        <v>1</v>
      </c>
      <c r="N194" s="8">
        <f>+K194*D194*(1-0.04*E194)*(1+0.05*MAX(H194+I194/60+J194/3600-1,0))*(1+0.03*$M194)*(H194+I194/60+J194/3600)/(H194+I194/60+J194/3600+1/3)</f>
        <v>36.60295607357395</v>
      </c>
      <c r="O194" s="12">
        <f>1000*(N194/MAX(N$192:N$194))</f>
        <v>846.5712398884168</v>
      </c>
      <c r="P194" s="32" t="s">
        <v>29</v>
      </c>
      <c r="Q194" s="32" t="s">
        <v>86</v>
      </c>
      <c r="R194" s="31" t="s">
        <v>298</v>
      </c>
      <c r="S194" s="31" t="s">
        <v>87</v>
      </c>
      <c r="Y194" s="32" t="s">
        <v>29</v>
      </c>
      <c r="AF194" s="1"/>
      <c r="AG194" s="1"/>
      <c r="AH194" s="1"/>
      <c r="AI194" s="1"/>
      <c r="AJ194" s="1"/>
      <c r="AK194" s="1"/>
      <c r="AL194" s="1"/>
    </row>
    <row r="195" spans="1:38" ht="12.75">
      <c r="A195" s="7"/>
      <c r="B195" s="31" t="s">
        <v>198</v>
      </c>
      <c r="C195" s="29" t="s">
        <v>299</v>
      </c>
      <c r="D195">
        <v>0.855</v>
      </c>
      <c r="E195" s="13"/>
      <c r="F195" s="5">
        <v>94.66</v>
      </c>
      <c r="G195" s="8">
        <f t="shared" si="34"/>
        <v>80.9343</v>
      </c>
      <c r="H195" s="5"/>
      <c r="I195" s="5"/>
      <c r="J195" s="5"/>
      <c r="K195" s="9"/>
      <c r="L195" s="10"/>
      <c r="M195" s="11">
        <v>1</v>
      </c>
      <c r="N195" s="8"/>
      <c r="O195" s="40">
        <f>MIN(600*(G195/MAX(G$192:G$194)),1000)</f>
        <v>413.63074186887985</v>
      </c>
      <c r="P195" s="32" t="s">
        <v>29</v>
      </c>
      <c r="Q195" s="32" t="s">
        <v>86</v>
      </c>
      <c r="R195" s="31" t="s">
        <v>298</v>
      </c>
      <c r="S195" s="31" t="s">
        <v>87</v>
      </c>
      <c r="T195" t="s">
        <v>36</v>
      </c>
      <c r="U195" t="s">
        <v>99</v>
      </c>
      <c r="Y195" s="32" t="s">
        <v>270</v>
      </c>
      <c r="AF195" s="1"/>
      <c r="AG195" s="1"/>
      <c r="AH195" s="1"/>
      <c r="AI195" s="1"/>
      <c r="AJ195" s="1"/>
      <c r="AK195" s="1"/>
      <c r="AL195" s="1"/>
    </row>
    <row r="196" spans="1:38" ht="12.75">
      <c r="A196" s="7"/>
      <c r="B196" s="31" t="s">
        <v>190</v>
      </c>
      <c r="C196" s="29" t="s">
        <v>203</v>
      </c>
      <c r="E196" s="13"/>
      <c r="F196" s="5"/>
      <c r="G196" s="8"/>
      <c r="H196" s="5"/>
      <c r="I196" s="5"/>
      <c r="J196" s="5"/>
      <c r="K196" s="9"/>
      <c r="L196" s="10"/>
      <c r="M196" s="11"/>
      <c r="N196" s="8"/>
      <c r="O196" s="12"/>
      <c r="P196" s="32" t="s">
        <v>29</v>
      </c>
      <c r="Q196" s="32" t="s">
        <v>96</v>
      </c>
      <c r="R196" s="31" t="s">
        <v>68</v>
      </c>
      <c r="S196" s="31" t="s">
        <v>86</v>
      </c>
      <c r="T196" t="s">
        <v>279</v>
      </c>
      <c r="U196" t="s">
        <v>184</v>
      </c>
      <c r="Y196" s="32" t="s">
        <v>300</v>
      </c>
      <c r="AF196" s="1"/>
      <c r="AG196" s="1"/>
      <c r="AH196" s="1"/>
      <c r="AI196" s="1"/>
      <c r="AJ196" s="1"/>
      <c r="AK196" s="1"/>
      <c r="AL196" s="1"/>
    </row>
    <row r="197" spans="1:38" ht="12.75">
      <c r="A197" s="7"/>
      <c r="B197" s="31"/>
      <c r="C197" s="29"/>
      <c r="E197" s="13"/>
      <c r="F197" s="5"/>
      <c r="G197" s="8"/>
      <c r="H197" s="5"/>
      <c r="I197" s="5"/>
      <c r="J197" s="5"/>
      <c r="K197" s="9"/>
      <c r="L197" s="10"/>
      <c r="M197" s="11"/>
      <c r="N197" s="8"/>
      <c r="O197" s="12"/>
      <c r="P197" s="32"/>
      <c r="Q197" s="32"/>
      <c r="R197" s="31"/>
      <c r="S197" s="31"/>
      <c r="Y197" s="32"/>
      <c r="AF197" s="1"/>
      <c r="AG197" s="1"/>
      <c r="AH197" s="1"/>
      <c r="AI197" s="1"/>
      <c r="AJ197" s="1"/>
      <c r="AK197" s="1"/>
      <c r="AL197" s="1"/>
    </row>
    <row r="198" spans="1:38" ht="12.75">
      <c r="A198" s="7">
        <v>40090</v>
      </c>
      <c r="B198" s="31" t="s">
        <v>186</v>
      </c>
      <c r="C198" s="29" t="s">
        <v>187</v>
      </c>
      <c r="D198">
        <v>0.88</v>
      </c>
      <c r="E198" s="13"/>
      <c r="F198" s="5">
        <v>199.68</v>
      </c>
      <c r="G198" s="8">
        <f aca="true" t="shared" si="38" ref="G198:G207">+(D198*(1-0.04*E198))*F198</f>
        <v>175.7184</v>
      </c>
      <c r="H198" s="5">
        <v>3</v>
      </c>
      <c r="I198" s="5">
        <v>9</v>
      </c>
      <c r="J198" s="5">
        <v>36</v>
      </c>
      <c r="K198" s="9">
        <v>63.19</v>
      </c>
      <c r="L198" s="10">
        <f aca="true" t="shared" si="39" ref="L198:L204">+K198*D198</f>
        <v>55.6072</v>
      </c>
      <c r="M198" s="11">
        <v>1</v>
      </c>
      <c r="N198" s="8">
        <f aca="true" t="shared" si="40" ref="N198:N204">+K198*D198*(1-0.04*E198)*(1+0.05*MAX(H198+I198/60+J198/3600-1,0))*(1+0.03*$M198)*(H198+I198/60+J198/3600)/(H198+I198/60+J198/3600+1/3)</f>
        <v>57.4057066409771</v>
      </c>
      <c r="O198" s="12">
        <f aca="true" t="shared" si="41" ref="O198:O203">1000*(N198/MAX(N$198:N$200))</f>
        <v>1000</v>
      </c>
      <c r="P198" s="32" t="s">
        <v>29</v>
      </c>
      <c r="Q198" s="32" t="s">
        <v>301</v>
      </c>
      <c r="R198" s="31" t="s">
        <v>146</v>
      </c>
      <c r="S198" s="31" t="s">
        <v>29</v>
      </c>
      <c r="T198" t="s">
        <v>219</v>
      </c>
      <c r="U198" t="s">
        <v>67</v>
      </c>
      <c r="V198" t="s">
        <v>36</v>
      </c>
      <c r="Y198" s="32" t="s">
        <v>29</v>
      </c>
      <c r="AF198" s="1"/>
      <c r="AG198" s="1"/>
      <c r="AH198" s="1"/>
      <c r="AI198" s="1"/>
      <c r="AJ198" s="1"/>
      <c r="AK198" s="1"/>
      <c r="AL198" s="1"/>
    </row>
    <row r="199" spans="1:38" ht="12.75">
      <c r="A199" s="7"/>
      <c r="B199" s="31" t="s">
        <v>237</v>
      </c>
      <c r="C199" s="29" t="s">
        <v>182</v>
      </c>
      <c r="D199">
        <v>1.6</v>
      </c>
      <c r="E199" s="13"/>
      <c r="F199" s="5">
        <v>47.52</v>
      </c>
      <c r="G199" s="8">
        <f t="shared" si="38"/>
        <v>76.03200000000001</v>
      </c>
      <c r="H199" s="5">
        <v>1</v>
      </c>
      <c r="I199" s="5">
        <v>30</v>
      </c>
      <c r="J199" s="5">
        <v>37</v>
      </c>
      <c r="K199" s="9">
        <v>31.47</v>
      </c>
      <c r="L199" s="10">
        <f t="shared" si="39"/>
        <v>50.352000000000004</v>
      </c>
      <c r="M199" s="11">
        <v>1</v>
      </c>
      <c r="N199" s="8">
        <f t="shared" si="40"/>
        <v>43.5695437548521</v>
      </c>
      <c r="O199" s="12">
        <f t="shared" si="41"/>
        <v>758.975828437089</v>
      </c>
      <c r="P199" s="32" t="s">
        <v>29</v>
      </c>
      <c r="Q199" s="32" t="s">
        <v>67</v>
      </c>
      <c r="R199" s="31" t="s">
        <v>29</v>
      </c>
      <c r="S199" s="31" t="s">
        <v>99</v>
      </c>
      <c r="T199" t="s">
        <v>146</v>
      </c>
      <c r="Y199" s="32" t="s">
        <v>29</v>
      </c>
      <c r="AF199" s="1"/>
      <c r="AG199" s="1"/>
      <c r="AH199" s="1"/>
      <c r="AI199" s="1"/>
      <c r="AJ199" s="1"/>
      <c r="AK199" s="1"/>
      <c r="AL199" s="1"/>
    </row>
    <row r="200" spans="1:38" ht="12.75">
      <c r="A200" s="7"/>
      <c r="B200" s="31" t="s">
        <v>304</v>
      </c>
      <c r="C200" s="29" t="s">
        <v>95</v>
      </c>
      <c r="D200">
        <v>0.855</v>
      </c>
      <c r="E200" s="13"/>
      <c r="F200" s="5">
        <v>134.34</v>
      </c>
      <c r="G200" s="8">
        <f t="shared" si="38"/>
        <v>114.8607</v>
      </c>
      <c r="H200" s="5">
        <v>2</v>
      </c>
      <c r="I200" s="5">
        <v>38</v>
      </c>
      <c r="J200" s="5">
        <v>45</v>
      </c>
      <c r="K200" s="9">
        <v>50.77</v>
      </c>
      <c r="L200" s="10">
        <f t="shared" si="39"/>
        <v>43.40835</v>
      </c>
      <c r="M200" s="11">
        <v>1</v>
      </c>
      <c r="N200" s="8">
        <f t="shared" si="40"/>
        <v>42.97565463123907</v>
      </c>
      <c r="O200" s="12">
        <f t="shared" si="41"/>
        <v>748.6303565604463</v>
      </c>
      <c r="P200" s="32" t="s">
        <v>29</v>
      </c>
      <c r="Q200" s="32" t="s">
        <v>301</v>
      </c>
      <c r="R200" s="31" t="s">
        <v>146</v>
      </c>
      <c r="S200" s="31" t="s">
        <v>36</v>
      </c>
      <c r="T200" t="s">
        <v>184</v>
      </c>
      <c r="U200" t="s">
        <v>146</v>
      </c>
      <c r="V200" t="s">
        <v>68</v>
      </c>
      <c r="Y200" s="32" t="s">
        <v>29</v>
      </c>
      <c r="AF200" s="1"/>
      <c r="AG200" s="1"/>
      <c r="AH200" s="1"/>
      <c r="AI200" s="1"/>
      <c r="AJ200" s="1"/>
      <c r="AK200" s="1"/>
      <c r="AL200" s="1"/>
    </row>
    <row r="201" spans="1:38" ht="12.75">
      <c r="A201" s="7"/>
      <c r="B201" s="31" t="s">
        <v>237</v>
      </c>
      <c r="C201" s="29" t="s">
        <v>182</v>
      </c>
      <c r="D201">
        <v>1.6</v>
      </c>
      <c r="E201" s="13"/>
      <c r="F201" s="5">
        <v>29.69</v>
      </c>
      <c r="G201" s="8">
        <f t="shared" si="38"/>
        <v>47.504000000000005</v>
      </c>
      <c r="H201" s="5"/>
      <c r="I201" s="5">
        <v>49</v>
      </c>
      <c r="J201" s="5">
        <v>42</v>
      </c>
      <c r="K201" s="9">
        <v>35.8</v>
      </c>
      <c r="L201" s="10">
        <f t="shared" si="39"/>
        <v>57.28</v>
      </c>
      <c r="M201" s="11">
        <v>1</v>
      </c>
      <c r="N201" s="8">
        <f t="shared" si="40"/>
        <v>42.06916040172167</v>
      </c>
      <c r="O201" s="12">
        <f t="shared" si="41"/>
        <v>732.8393440886945</v>
      </c>
      <c r="P201" s="32" t="s">
        <v>29</v>
      </c>
      <c r="Q201" s="32" t="s">
        <v>67</v>
      </c>
      <c r="R201" s="31" t="s">
        <v>29</v>
      </c>
      <c r="S201" s="31" t="s">
        <v>99</v>
      </c>
      <c r="Y201" s="32" t="s">
        <v>29</v>
      </c>
      <c r="Z201" t="s">
        <v>303</v>
      </c>
      <c r="AF201" s="1"/>
      <c r="AG201" s="1"/>
      <c r="AH201" s="1"/>
      <c r="AI201" s="1"/>
      <c r="AJ201" s="1"/>
      <c r="AK201" s="1"/>
      <c r="AL201" s="1"/>
    </row>
    <row r="202" spans="1:38" ht="12.75">
      <c r="A202" s="7"/>
      <c r="B202" s="31" t="s">
        <v>192</v>
      </c>
      <c r="C202" s="29" t="s">
        <v>191</v>
      </c>
      <c r="D202">
        <v>0.885</v>
      </c>
      <c r="E202" s="13"/>
      <c r="F202" s="5">
        <v>115.13</v>
      </c>
      <c r="G202" s="8">
        <f t="shared" si="38"/>
        <v>101.89005</v>
      </c>
      <c r="H202" s="5">
        <v>2</v>
      </c>
      <c r="I202" s="5">
        <v>20</v>
      </c>
      <c r="J202" s="5">
        <v>37</v>
      </c>
      <c r="K202" s="9">
        <v>49.13</v>
      </c>
      <c r="L202" s="10">
        <f t="shared" si="39"/>
        <v>43.480050000000006</v>
      </c>
      <c r="M202" s="11">
        <v>1</v>
      </c>
      <c r="N202" s="8">
        <f t="shared" si="40"/>
        <v>41.84189576992423</v>
      </c>
      <c r="O202" s="12">
        <f t="shared" si="41"/>
        <v>728.8804235371405</v>
      </c>
      <c r="P202" s="32" t="s">
        <v>29</v>
      </c>
      <c r="Q202" s="32" t="s">
        <v>301</v>
      </c>
      <c r="R202" s="31" t="s">
        <v>146</v>
      </c>
      <c r="S202" s="31" t="s">
        <v>36</v>
      </c>
      <c r="T202" t="s">
        <v>29</v>
      </c>
      <c r="U202" t="s">
        <v>67</v>
      </c>
      <c r="Y202" s="32" t="s">
        <v>29</v>
      </c>
      <c r="AF202" s="1"/>
      <c r="AG202" s="1"/>
      <c r="AH202" s="1"/>
      <c r="AI202" s="1"/>
      <c r="AJ202" s="1"/>
      <c r="AK202" s="1"/>
      <c r="AL202" s="1"/>
    </row>
    <row r="203" spans="1:38" ht="12.75">
      <c r="A203" s="7"/>
      <c r="B203" s="31" t="s">
        <v>64</v>
      </c>
      <c r="C203" s="29" t="s">
        <v>232</v>
      </c>
      <c r="D203">
        <v>0.894</v>
      </c>
      <c r="E203" s="13"/>
      <c r="F203" s="5">
        <v>29.34</v>
      </c>
      <c r="G203" s="8">
        <f t="shared" si="38"/>
        <v>26.229960000000002</v>
      </c>
      <c r="H203" s="5"/>
      <c r="I203" s="5">
        <v>26</v>
      </c>
      <c r="J203" s="5">
        <v>49</v>
      </c>
      <c r="K203" s="9">
        <v>65.54</v>
      </c>
      <c r="L203" s="10">
        <f t="shared" si="39"/>
        <v>58.592760000000006</v>
      </c>
      <c r="M203" s="11">
        <v>1</v>
      </c>
      <c r="N203" s="8">
        <f t="shared" si="40"/>
        <v>34.56889404243503</v>
      </c>
      <c r="O203" s="12">
        <f t="shared" si="41"/>
        <v>602.1856722125813</v>
      </c>
      <c r="P203" s="32" t="s">
        <v>29</v>
      </c>
      <c r="Q203" s="32" t="s">
        <v>67</v>
      </c>
      <c r="R203" s="31" t="s">
        <v>29</v>
      </c>
      <c r="S203" s="31" t="s">
        <v>99</v>
      </c>
      <c r="Y203" s="32" t="s">
        <v>29</v>
      </c>
      <c r="Z203" t="s">
        <v>303</v>
      </c>
      <c r="AF203" s="1"/>
      <c r="AG203" s="1"/>
      <c r="AH203" s="1"/>
      <c r="AI203" s="1"/>
      <c r="AJ203" s="1"/>
      <c r="AK203" s="1"/>
      <c r="AL203" s="1"/>
    </row>
    <row r="204" spans="1:38" ht="12.75">
      <c r="A204" s="7"/>
      <c r="B204" s="31" t="s">
        <v>192</v>
      </c>
      <c r="C204" s="29" t="s">
        <v>191</v>
      </c>
      <c r="D204">
        <v>0.885</v>
      </c>
      <c r="E204" s="13"/>
      <c r="F204" s="5">
        <v>132.38</v>
      </c>
      <c r="G204" s="8">
        <f t="shared" si="38"/>
        <v>117.1563</v>
      </c>
      <c r="H204" s="5">
        <v>2</v>
      </c>
      <c r="I204" s="5">
        <v>42</v>
      </c>
      <c r="J204" s="5">
        <v>11</v>
      </c>
      <c r="K204" s="9">
        <v>48.97</v>
      </c>
      <c r="L204" s="10">
        <f t="shared" si="39"/>
        <v>43.33845</v>
      </c>
      <c r="M204" s="11">
        <v>1</v>
      </c>
      <c r="N204" s="8">
        <f t="shared" si="40"/>
        <v>43.12201676958404</v>
      </c>
      <c r="O204" s="40">
        <f>MIN(600*(G204/MAX(G$198:G$200)),1000)</f>
        <v>400.03653572989515</v>
      </c>
      <c r="P204" s="32" t="s">
        <v>29</v>
      </c>
      <c r="Q204" s="32" t="s">
        <v>301</v>
      </c>
      <c r="R204" s="31" t="s">
        <v>146</v>
      </c>
      <c r="S204" s="31" t="s">
        <v>36</v>
      </c>
      <c r="T204" t="s">
        <v>29</v>
      </c>
      <c r="U204" t="s">
        <v>67</v>
      </c>
      <c r="V204" t="s">
        <v>29</v>
      </c>
      <c r="W204" t="s">
        <v>99</v>
      </c>
      <c r="Y204" s="32" t="s">
        <v>29</v>
      </c>
      <c r="Z204" t="s">
        <v>302</v>
      </c>
      <c r="AF204" s="1"/>
      <c r="AG204" s="1"/>
      <c r="AH204" s="1"/>
      <c r="AI204" s="1"/>
      <c r="AJ204" s="1"/>
      <c r="AK204" s="1"/>
      <c r="AL204" s="1"/>
    </row>
    <row r="205" spans="1:38" ht="12.75">
      <c r="A205" s="7"/>
      <c r="B205" s="31"/>
      <c r="C205" s="29"/>
      <c r="E205" s="13"/>
      <c r="F205" s="5"/>
      <c r="G205" s="8"/>
      <c r="H205" s="5"/>
      <c r="I205" s="5"/>
      <c r="J205" s="5"/>
      <c r="K205" s="9"/>
      <c r="L205" s="10"/>
      <c r="M205" s="11"/>
      <c r="N205" s="8"/>
      <c r="O205" s="40"/>
      <c r="P205" s="32"/>
      <c r="Q205" s="32"/>
      <c r="R205" s="31"/>
      <c r="S205" s="31"/>
      <c r="Y205" s="32"/>
      <c r="AF205" s="1"/>
      <c r="AG205" s="1"/>
      <c r="AH205" s="1"/>
      <c r="AI205" s="1"/>
      <c r="AJ205" s="1"/>
      <c r="AK205" s="1"/>
      <c r="AL205" s="1"/>
    </row>
    <row r="206" spans="1:38" ht="12.75">
      <c r="A206" s="7">
        <v>40103</v>
      </c>
      <c r="B206" s="31" t="s">
        <v>186</v>
      </c>
      <c r="C206" s="29" t="s">
        <v>187</v>
      </c>
      <c r="D206">
        <v>0.88</v>
      </c>
      <c r="E206" s="13"/>
      <c r="F206" s="5">
        <v>171.67</v>
      </c>
      <c r="G206" s="8">
        <f t="shared" si="38"/>
        <v>151.06959999999998</v>
      </c>
      <c r="H206" s="5">
        <v>2</v>
      </c>
      <c r="I206" s="5">
        <v>31</v>
      </c>
      <c r="J206" s="5">
        <v>14</v>
      </c>
      <c r="K206" s="9">
        <v>68.11</v>
      </c>
      <c r="L206" s="10">
        <f>+K206*D206</f>
        <v>59.9368</v>
      </c>
      <c r="M206" s="11">
        <v>0</v>
      </c>
      <c r="N206" s="8">
        <f>+K206*D206*(1-0.04*E206)*(1+0.05*MAX(H206+I206/60+J206/3600-1,0))*(1+0.03*$M206)*(H206+I206/60+J206/3600)/(H206+I206/60+J206/3600+1/3)</f>
        <v>56.960822110825596</v>
      </c>
      <c r="O206" s="12">
        <f>1000*(N206/MAX(N$206:N$207))</f>
        <v>1000</v>
      </c>
      <c r="P206" s="32" t="s">
        <v>29</v>
      </c>
      <c r="Q206" s="32" t="s">
        <v>103</v>
      </c>
      <c r="R206" s="31" t="s">
        <v>35</v>
      </c>
      <c r="S206" s="31" t="s">
        <v>155</v>
      </c>
      <c r="T206" t="s">
        <v>298</v>
      </c>
      <c r="U206" t="s">
        <v>103</v>
      </c>
      <c r="Y206" s="32" t="s">
        <v>29</v>
      </c>
      <c r="AF206" s="1"/>
      <c r="AG206" s="1"/>
      <c r="AH206" s="1"/>
      <c r="AI206" s="1"/>
      <c r="AJ206" s="1"/>
      <c r="AK206" s="1"/>
      <c r="AL206" s="1"/>
    </row>
    <row r="207" spans="1:38" ht="12.75">
      <c r="A207" s="7"/>
      <c r="B207" s="31" t="s">
        <v>190</v>
      </c>
      <c r="C207" s="29" t="s">
        <v>203</v>
      </c>
      <c r="D207">
        <v>0.885</v>
      </c>
      <c r="E207" s="13"/>
      <c r="F207" s="5">
        <v>163.8</v>
      </c>
      <c r="G207" s="8">
        <f t="shared" si="38"/>
        <v>144.96300000000002</v>
      </c>
      <c r="H207" s="5">
        <v>2</v>
      </c>
      <c r="I207" s="5">
        <v>33</v>
      </c>
      <c r="J207" s="5">
        <v>58</v>
      </c>
      <c r="K207" s="9">
        <v>63.83</v>
      </c>
      <c r="L207" s="10">
        <f>+K207*D207</f>
        <v>56.48955</v>
      </c>
      <c r="M207" s="11">
        <v>0</v>
      </c>
      <c r="N207" s="8">
        <f>+K207*D207*(1-0.04*E207)*(1+0.05*MAX(H207+I207/60+J207/3600-1,0))*(1+0.03*$M207)*(H207+I207/60+J207/3600)/(H207+I207/60+J207/3600+1/3)</f>
        <v>53.910160309859</v>
      </c>
      <c r="O207" s="12">
        <f>1000*(N207/MAX(N$206:N$207))</f>
        <v>946.4428059863483</v>
      </c>
      <c r="P207" s="32" t="s">
        <v>29</v>
      </c>
      <c r="Q207" s="32" t="s">
        <v>103</v>
      </c>
      <c r="R207" s="31" t="s">
        <v>35</v>
      </c>
      <c r="S207" s="31" t="s">
        <v>68</v>
      </c>
      <c r="T207" t="s">
        <v>36</v>
      </c>
      <c r="U207" t="s">
        <v>298</v>
      </c>
      <c r="V207" t="s">
        <v>103</v>
      </c>
      <c r="Y207" s="32" t="s">
        <v>29</v>
      </c>
      <c r="AF207" s="1"/>
      <c r="AG207" s="1"/>
      <c r="AH207" s="1"/>
      <c r="AI207" s="1"/>
      <c r="AJ207" s="1"/>
      <c r="AK207" s="1"/>
      <c r="AL207" s="1"/>
    </row>
    <row r="208" spans="1:38" ht="12.75">
      <c r="A208" s="7"/>
      <c r="B208" s="31" t="s">
        <v>105</v>
      </c>
      <c r="C208" s="29" t="s">
        <v>101</v>
      </c>
      <c r="D208">
        <v>0.925</v>
      </c>
      <c r="E208" s="13"/>
      <c r="F208" s="5">
        <v>159.06</v>
      </c>
      <c r="G208" s="8">
        <f>+(D208*(1-0.04*E208))*F208</f>
        <v>147.1305</v>
      </c>
      <c r="H208" s="5">
        <v>2</v>
      </c>
      <c r="I208" s="5">
        <v>38</v>
      </c>
      <c r="J208" s="5">
        <v>54</v>
      </c>
      <c r="K208" s="9">
        <v>60.06</v>
      </c>
      <c r="L208" s="10">
        <f>+K208*D208</f>
        <v>55.5555</v>
      </c>
      <c r="M208" s="11">
        <v>0</v>
      </c>
      <c r="N208" s="8">
        <f>+K208*D208*(1-0.04*E208)*(1+0.05*MAX(H208+I208/60+J208/3600-1,0))*(1+0.03*$M208)*(H208+I208/60+J208/3600)/(H208+I208/60+J208/3600+1/3)</f>
        <v>53.411538518515925</v>
      </c>
      <c r="O208" s="12">
        <f>1000*(N208/MAX(N$206:N$207))</f>
        <v>937.6890385218804</v>
      </c>
      <c r="P208" s="32" t="s">
        <v>29</v>
      </c>
      <c r="Q208" s="32" t="s">
        <v>103</v>
      </c>
      <c r="R208" s="31" t="s">
        <v>35</v>
      </c>
      <c r="S208" s="31" t="s">
        <v>29</v>
      </c>
      <c r="T208" t="s">
        <v>234</v>
      </c>
      <c r="U208" t="s">
        <v>68</v>
      </c>
      <c r="Y208" s="32" t="s">
        <v>29</v>
      </c>
      <c r="AF208" s="1"/>
      <c r="AG208" s="1"/>
      <c r="AH208" s="1"/>
      <c r="AI208" s="1"/>
      <c r="AJ208" s="1"/>
      <c r="AK208" s="1"/>
      <c r="AL208" s="1"/>
    </row>
    <row r="209" spans="1:38" ht="12.75">
      <c r="A209" s="7"/>
      <c r="B209" s="31"/>
      <c r="C209" s="29"/>
      <c r="E209" s="13"/>
      <c r="F209" s="5"/>
      <c r="G209" s="8"/>
      <c r="H209" s="5"/>
      <c r="I209" s="5"/>
      <c r="J209" s="5"/>
      <c r="K209" s="9"/>
      <c r="L209" s="10"/>
      <c r="M209" s="11"/>
      <c r="N209" s="8"/>
      <c r="O209" s="12"/>
      <c r="P209" s="32"/>
      <c r="Q209" s="32"/>
      <c r="R209" s="31"/>
      <c r="S209" s="31"/>
      <c r="Y209" s="32"/>
      <c r="AF209" s="1"/>
      <c r="AG209" s="1"/>
      <c r="AH209" s="1"/>
      <c r="AI209" s="1"/>
      <c r="AJ209" s="1"/>
      <c r="AK209" s="1"/>
      <c r="AL209" s="1"/>
    </row>
    <row r="210" spans="1:38" ht="12.75">
      <c r="A210" s="7">
        <v>40104</v>
      </c>
      <c r="B210" s="31" t="s">
        <v>105</v>
      </c>
      <c r="C210" s="29" t="s">
        <v>147</v>
      </c>
      <c r="D210">
        <v>0.88</v>
      </c>
      <c r="E210" s="13"/>
      <c r="F210" s="5">
        <v>78.95</v>
      </c>
      <c r="G210" s="8"/>
      <c r="H210" s="5">
        <v>2</v>
      </c>
      <c r="I210" s="5">
        <v>12</v>
      </c>
      <c r="J210" s="5">
        <v>6</v>
      </c>
      <c r="K210" s="9">
        <v>35.86</v>
      </c>
      <c r="L210" s="10">
        <f>+K210*D210</f>
        <v>31.5568</v>
      </c>
      <c r="M210" s="11">
        <v>0</v>
      </c>
      <c r="N210" s="8">
        <f>+K210*D210*(1-0.04*E210)*(1+0.05*MAX(H210+I210/60+J210/3600-1,0))*(1+0.03*$M210)*(H210+I210/60+J210/3600)/(H210+I210/60+J210/3600+1/3)</f>
        <v>29.05404250212579</v>
      </c>
      <c r="O210" s="12">
        <f>1000*(N210/MAX(N$210:N$213))</f>
        <v>1000</v>
      </c>
      <c r="P210" s="32" t="s">
        <v>29</v>
      </c>
      <c r="Q210" s="32" t="s">
        <v>146</v>
      </c>
      <c r="R210" s="31" t="s">
        <v>103</v>
      </c>
      <c r="S210" s="31" t="s">
        <v>305</v>
      </c>
      <c r="T210" t="s">
        <v>99</v>
      </c>
      <c r="U210" t="s">
        <v>67</v>
      </c>
      <c r="Y210" s="32" t="s">
        <v>29</v>
      </c>
      <c r="AF210" s="1"/>
      <c r="AG210" s="1"/>
      <c r="AH210" s="1"/>
      <c r="AI210" s="1"/>
      <c r="AJ210" s="1"/>
      <c r="AK210" s="1"/>
      <c r="AL210" s="1"/>
    </row>
    <row r="211" spans="1:38" ht="12.75">
      <c r="A211" s="7"/>
      <c r="B211" s="31" t="s">
        <v>198</v>
      </c>
      <c r="C211" s="29" t="s">
        <v>95</v>
      </c>
      <c r="D211">
        <v>0.855</v>
      </c>
      <c r="E211" s="13"/>
      <c r="F211" s="5">
        <v>80.74</v>
      </c>
      <c r="G211" s="8"/>
      <c r="H211" s="5">
        <v>2</v>
      </c>
      <c r="I211" s="5">
        <v>21</v>
      </c>
      <c r="J211" s="5">
        <v>13</v>
      </c>
      <c r="K211" s="9">
        <v>34.3</v>
      </c>
      <c r="L211" s="10">
        <f>+K211*D211</f>
        <v>29.326499999999996</v>
      </c>
      <c r="M211" s="11">
        <v>1</v>
      </c>
      <c r="N211" s="8">
        <f>+K211*D211*(1-0.04*E211)*(1+0.05*MAX(H211+I211/60+J211/3600-1,0))*(1+0.03*$M211)*(H211+I211/60+J211/3600)/(H211+I211/60+J211/3600+1/3)</f>
        <v>28.249763189818236</v>
      </c>
      <c r="O211" s="12">
        <f>1000*(N211/MAX(N$210:N$213))</f>
        <v>972.3178173141067</v>
      </c>
      <c r="P211" s="32" t="s">
        <v>29</v>
      </c>
      <c r="Q211" s="32" t="s">
        <v>146</v>
      </c>
      <c r="R211" s="31" t="s">
        <v>103</v>
      </c>
      <c r="S211" s="31" t="s">
        <v>67</v>
      </c>
      <c r="T211" t="s">
        <v>29</v>
      </c>
      <c r="U211" t="s">
        <v>68</v>
      </c>
      <c r="Y211" s="32" t="s">
        <v>29</v>
      </c>
      <c r="AF211" s="1"/>
      <c r="AG211" s="1"/>
      <c r="AH211" s="1"/>
      <c r="AI211" s="1"/>
      <c r="AJ211" s="1"/>
      <c r="AK211" s="1"/>
      <c r="AL211" s="1"/>
    </row>
    <row r="212" spans="1:38" ht="12.75">
      <c r="A212" s="7"/>
      <c r="B212" s="31" t="s">
        <v>105</v>
      </c>
      <c r="C212" s="29" t="s">
        <v>147</v>
      </c>
      <c r="D212">
        <v>0.88</v>
      </c>
      <c r="E212" s="13"/>
      <c r="F212" s="5">
        <v>73.95</v>
      </c>
      <c r="G212" s="8"/>
      <c r="H212" s="5">
        <v>2</v>
      </c>
      <c r="I212" s="5">
        <v>12</v>
      </c>
      <c r="J212" s="5">
        <v>6</v>
      </c>
      <c r="K212" s="9">
        <v>33.59</v>
      </c>
      <c r="L212" s="10">
        <f>+K212*D212</f>
        <v>29.559200000000004</v>
      </c>
      <c r="M212" s="11">
        <v>1</v>
      </c>
      <c r="N212" s="8">
        <f>+K212*D212*(1-0.04*E212)*(1+0.05*MAX(H212+I212/60+J212/3600-1,0))*(1+0.03*$M212)*(H212+I212/60+J212/3600)/(H212+I212/60+J212/3600+1/3)</f>
        <v>28.031317520239757</v>
      </c>
      <c r="O212" s="12">
        <f>1000*(N212/MAX(N$210:N$213))</f>
        <v>964.7992191857226</v>
      </c>
      <c r="P212" s="32" t="s">
        <v>29</v>
      </c>
      <c r="Q212" s="32" t="s">
        <v>146</v>
      </c>
      <c r="R212" s="31" t="s">
        <v>103</v>
      </c>
      <c r="S212" s="31" t="s">
        <v>67</v>
      </c>
      <c r="Y212" s="32" t="s">
        <v>29</v>
      </c>
      <c r="AF212" s="1"/>
      <c r="AG212" s="1"/>
      <c r="AH212" s="1"/>
      <c r="AI212" s="1"/>
      <c r="AJ212" s="1"/>
      <c r="AK212" s="1"/>
      <c r="AL212" s="1"/>
    </row>
    <row r="213" spans="1:38" ht="12.75">
      <c r="A213" s="7"/>
      <c r="B213" s="31" t="s">
        <v>135</v>
      </c>
      <c r="C213" s="29" t="s">
        <v>122</v>
      </c>
      <c r="D213">
        <v>0.94</v>
      </c>
      <c r="E213" s="13"/>
      <c r="F213" s="5"/>
      <c r="G213" s="8"/>
      <c r="H213" s="5"/>
      <c r="I213" s="5"/>
      <c r="J213" s="5"/>
      <c r="K213" s="9"/>
      <c r="L213" s="10"/>
      <c r="M213" s="11"/>
      <c r="N213" s="8"/>
      <c r="O213" s="12"/>
      <c r="P213" s="32" t="s">
        <v>29</v>
      </c>
      <c r="Q213" s="32" t="s">
        <v>146</v>
      </c>
      <c r="R213" s="31" t="s">
        <v>67</v>
      </c>
      <c r="S213" s="31" t="s">
        <v>99</v>
      </c>
      <c r="Y213" s="32" t="s">
        <v>29</v>
      </c>
      <c r="AF213" s="1"/>
      <c r="AG213" s="1"/>
      <c r="AH213" s="1"/>
      <c r="AI213" s="1"/>
      <c r="AJ213" s="1"/>
      <c r="AK213" s="1"/>
      <c r="AL213" s="1"/>
    </row>
    <row r="214" spans="1:38" ht="12.75">
      <c r="A214" s="7"/>
      <c r="B214" s="31"/>
      <c r="C214" s="29"/>
      <c r="E214" s="13"/>
      <c r="F214" s="5"/>
      <c r="G214" s="8"/>
      <c r="H214" s="5"/>
      <c r="I214" s="5"/>
      <c r="J214" s="5"/>
      <c r="K214" s="9"/>
      <c r="L214" s="10"/>
      <c r="M214" s="11"/>
      <c r="N214" s="8"/>
      <c r="O214" s="12"/>
      <c r="P214" s="32"/>
      <c r="Q214" s="32"/>
      <c r="R214" s="31"/>
      <c r="S214" s="31"/>
      <c r="Y214" s="32"/>
      <c r="AF214" s="1"/>
      <c r="AG214" s="1"/>
      <c r="AH214" s="1"/>
      <c r="AI214" s="1"/>
      <c r="AJ214" s="1"/>
      <c r="AK214" s="1"/>
      <c r="AL214" s="1"/>
    </row>
    <row r="215" spans="1:38" ht="12.75">
      <c r="A215" s="45"/>
      <c r="B215" s="31"/>
      <c r="D215" s="3"/>
      <c r="G215" s="3" t="s">
        <v>2</v>
      </c>
      <c r="H215" s="3"/>
      <c r="I215" s="3" t="s">
        <v>3</v>
      </c>
      <c r="J215" s="3"/>
      <c r="K215" s="4" t="s">
        <v>4</v>
      </c>
      <c r="L215" s="3" t="s">
        <v>2</v>
      </c>
      <c r="M215" s="3" t="s">
        <v>5</v>
      </c>
      <c r="N215" s="3" t="s">
        <v>6</v>
      </c>
      <c r="O215" s="6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5"/>
      <c r="AB215" s="3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>
      <c r="A216" s="45"/>
      <c r="B216" s="31"/>
      <c r="C216" s="5" t="s">
        <v>7</v>
      </c>
      <c r="D216" s="3" t="s">
        <v>8</v>
      </c>
      <c r="E216" s="3" t="s">
        <v>9</v>
      </c>
      <c r="F216" s="3" t="s">
        <v>10</v>
      </c>
      <c r="G216" s="3" t="s">
        <v>10</v>
      </c>
      <c r="H216" s="3" t="s">
        <v>11</v>
      </c>
      <c r="I216" s="3" t="s">
        <v>12</v>
      </c>
      <c r="J216" s="3" t="s">
        <v>13</v>
      </c>
      <c r="K216" s="4" t="s">
        <v>14</v>
      </c>
      <c r="L216" s="3" t="s">
        <v>14</v>
      </c>
      <c r="M216" s="3" t="s">
        <v>15</v>
      </c>
      <c r="N216" s="3" t="s">
        <v>14</v>
      </c>
      <c r="O216" s="6" t="s">
        <v>16</v>
      </c>
      <c r="P216" s="3" t="s">
        <v>17</v>
      </c>
      <c r="Q216" s="3" t="s">
        <v>18</v>
      </c>
      <c r="R216" s="3" t="s">
        <v>19</v>
      </c>
      <c r="S216" s="3" t="s">
        <v>20</v>
      </c>
      <c r="T216" s="3" t="s">
        <v>21</v>
      </c>
      <c r="U216" s="3" t="s">
        <v>22</v>
      </c>
      <c r="V216" s="3" t="s">
        <v>23</v>
      </c>
      <c r="W216" s="3" t="s">
        <v>24</v>
      </c>
      <c r="X216" s="3" t="s">
        <v>25</v>
      </c>
      <c r="Y216" s="3" t="s">
        <v>26</v>
      </c>
      <c r="Z216" s="3"/>
      <c r="AA216" s="5"/>
      <c r="AB216" s="3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3:38" ht="12.75">
      <c r="C217" s="29"/>
      <c r="D217" s="5"/>
      <c r="E217" s="5"/>
      <c r="F217" s="5"/>
      <c r="G217" s="5"/>
      <c r="H217" s="5"/>
      <c r="I217" s="5"/>
      <c r="J217" s="3"/>
      <c r="K217" s="5"/>
      <c r="L217" s="5"/>
      <c r="M217" s="5"/>
      <c r="N217" s="5"/>
      <c r="O217" s="5"/>
      <c r="P217" s="5"/>
      <c r="Q217" s="5"/>
      <c r="R217" s="3"/>
      <c r="S217" s="3"/>
      <c r="T217" s="3"/>
      <c r="U217" s="3"/>
      <c r="V217" s="3"/>
      <c r="W217" s="3"/>
      <c r="X217" s="3"/>
      <c r="Y217" s="3"/>
      <c r="Z217" s="3"/>
      <c r="AA217" s="5"/>
      <c r="AB217" s="3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2:38" ht="12.75">
      <c r="B218" s="31"/>
      <c r="C218" s="29"/>
      <c r="D218" s="5"/>
      <c r="E218" s="5"/>
      <c r="F218" s="5"/>
      <c r="G218" s="5"/>
      <c r="H218" s="5"/>
      <c r="I218" s="5"/>
      <c r="J218" s="3"/>
      <c r="K218" s="5"/>
      <c r="L218" s="5"/>
      <c r="M218" s="5"/>
      <c r="N218" s="5"/>
      <c r="O218" s="5"/>
      <c r="P218" s="5"/>
      <c r="Q218" s="5"/>
      <c r="R218" s="3"/>
      <c r="S218" s="3"/>
      <c r="T218" s="3"/>
      <c r="U218" s="3"/>
      <c r="V218" s="3"/>
      <c r="W218" s="3"/>
      <c r="X218" s="3"/>
      <c r="Y218" s="3"/>
      <c r="Z218" s="3"/>
      <c r="AA218" s="5"/>
      <c r="AB218" s="3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>
      <c r="A219" t="s">
        <v>181</v>
      </c>
      <c r="B219" s="15" t="s">
        <v>48</v>
      </c>
      <c r="C219" s="3"/>
      <c r="D219" s="5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13"/>
      <c r="AB219" s="1"/>
      <c r="AC219" s="1"/>
      <c r="AD219" s="1"/>
      <c r="AE219" s="3"/>
      <c r="AF219" s="13"/>
      <c r="AG219" s="1"/>
      <c r="AH219" s="1"/>
      <c r="AI219" s="1"/>
      <c r="AJ219" s="1"/>
      <c r="AK219" s="1"/>
      <c r="AL219" s="1"/>
    </row>
    <row r="220" spans="2:38" ht="12.75">
      <c r="B220" s="14"/>
      <c r="C220" s="13"/>
      <c r="K220" s="13"/>
      <c r="L220" s="11"/>
      <c r="M220" s="11"/>
      <c r="N220" s="11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3"/>
      <c r="Z220" s="3"/>
      <c r="AA220" s="7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2:38" ht="12.75">
      <c r="B221" s="14"/>
      <c r="C221" s="3" t="s">
        <v>49</v>
      </c>
      <c r="D221" s="16">
        <v>39935</v>
      </c>
      <c r="E221" s="16">
        <v>39936</v>
      </c>
      <c r="F221" s="16">
        <v>39950</v>
      </c>
      <c r="G221" s="16">
        <v>39956</v>
      </c>
      <c r="H221" s="16">
        <v>39957</v>
      </c>
      <c r="I221" s="28">
        <v>39964</v>
      </c>
      <c r="J221" s="16">
        <v>39976</v>
      </c>
      <c r="K221" s="16">
        <v>39978</v>
      </c>
      <c r="L221" s="17">
        <v>39984</v>
      </c>
      <c r="M221" s="17">
        <v>40025</v>
      </c>
      <c r="N221" s="17">
        <v>40027</v>
      </c>
      <c r="O221" s="48">
        <v>40031</v>
      </c>
      <c r="P221" s="28">
        <v>40037</v>
      </c>
      <c r="Q221" s="16">
        <v>40040</v>
      </c>
      <c r="R221" s="16">
        <v>40047</v>
      </c>
      <c r="S221" s="28">
        <v>40048</v>
      </c>
      <c r="T221" s="16">
        <v>40055</v>
      </c>
      <c r="U221" s="18">
        <v>40056</v>
      </c>
      <c r="V221" s="18">
        <v>40058</v>
      </c>
      <c r="W221" s="18">
        <v>40059</v>
      </c>
      <c r="X221" s="18">
        <v>40061</v>
      </c>
      <c r="Y221" s="18">
        <v>40063</v>
      </c>
      <c r="Z221" s="18">
        <v>40076</v>
      </c>
      <c r="AA221" s="17">
        <v>40090</v>
      </c>
      <c r="AB221" s="7">
        <v>40103</v>
      </c>
      <c r="AC221" s="7"/>
      <c r="AD221" s="7"/>
      <c r="AE221" s="18"/>
      <c r="AF221" s="18"/>
      <c r="AG221" s="7"/>
      <c r="AH221" s="7"/>
      <c r="AI221" s="7"/>
      <c r="AJ221" s="7"/>
      <c r="AK221" s="7"/>
      <c r="AL221" s="1"/>
    </row>
    <row r="222" spans="1:38" ht="12.75">
      <c r="A222" s="5" t="s">
        <v>31</v>
      </c>
      <c r="B222" s="14">
        <f aca="true" t="shared" si="42" ref="B222:B242">+LARGE(D222:AK222,1)+LARGE(D222:AK222,2)+LARGE(D222:AK222,3)+LARGE(D222:AK222,4)+LARGE(D222:AK222,5)+LARGE(D222:AK222,6)+LARGE(D222:AK222,7)+LARGE(D222:AK222,8)</f>
        <v>8000</v>
      </c>
      <c r="C222" s="13">
        <f aca="true" t="shared" si="43" ref="C222:C242">+COUNTIF(D222:AK222,"&gt;0")</f>
        <v>16</v>
      </c>
      <c r="D222" s="13">
        <f>+$O$7</f>
        <v>1000</v>
      </c>
      <c r="E222" s="13">
        <f>+$O$13</f>
        <v>1000</v>
      </c>
      <c r="F222" s="13"/>
      <c r="G222" s="11"/>
      <c r="H222" s="11"/>
      <c r="I222" s="29">
        <f>+$O$80</f>
        <v>974.937630231841</v>
      </c>
      <c r="J222" s="13">
        <v>0</v>
      </c>
      <c r="K222" s="13">
        <v>0</v>
      </c>
      <c r="L222" s="11">
        <f>+$O$99</f>
        <v>550.6186834921084</v>
      </c>
      <c r="M222" s="11">
        <f>+$O$111</f>
        <v>637.02980338666</v>
      </c>
      <c r="N222" s="13">
        <f>+$O$113</f>
        <v>1000</v>
      </c>
      <c r="O222" s="13">
        <f>+$O$121</f>
        <v>1000</v>
      </c>
      <c r="P222" s="13">
        <f>+$O$126</f>
        <v>1000</v>
      </c>
      <c r="Q222" s="11">
        <f>+$O$134</f>
        <v>1000</v>
      </c>
      <c r="R222" s="11">
        <f>+$O$139</f>
        <v>1000</v>
      </c>
      <c r="T222" s="13">
        <f>+$O$152</f>
        <v>1000</v>
      </c>
      <c r="U222" s="13"/>
      <c r="V222" s="13"/>
      <c r="W222" s="13">
        <f>+$O$175</f>
        <v>1000</v>
      </c>
      <c r="X222" s="13">
        <f>+$O$183</f>
        <v>1000</v>
      </c>
      <c r="Y222" s="3"/>
      <c r="Z222" s="13">
        <f>+$O$192</f>
        <v>1000</v>
      </c>
      <c r="AA222" s="11">
        <f>+$O$198</f>
        <v>1000</v>
      </c>
      <c r="AB222" s="11">
        <f>+$O$206</f>
        <v>1000</v>
      </c>
      <c r="AC222" s="11"/>
      <c r="AD222" s="1"/>
      <c r="AE222" s="11"/>
      <c r="AF222" s="11"/>
      <c r="AG222" s="11"/>
      <c r="AH222" s="1"/>
      <c r="AI222" s="1"/>
      <c r="AJ222" s="1"/>
      <c r="AK222" s="11"/>
      <c r="AL222" s="1"/>
    </row>
    <row r="223" spans="1:38" ht="12.75">
      <c r="A223" s="5" t="s">
        <v>30</v>
      </c>
      <c r="B223" s="14">
        <f t="shared" si="42"/>
        <v>7991.543207476431</v>
      </c>
      <c r="C223" s="13">
        <f t="shared" si="43"/>
        <v>17</v>
      </c>
      <c r="D223" s="13">
        <f>+$O$8</f>
        <v>877.3118242277826</v>
      </c>
      <c r="E223" s="33">
        <f>+$O$15</f>
        <v>600</v>
      </c>
      <c r="F223" s="13">
        <f>+$O$19</f>
        <v>1000</v>
      </c>
      <c r="G223" s="11">
        <f>+$O$30</f>
        <v>1000</v>
      </c>
      <c r="H223" s="11">
        <f>+$O$49</f>
        <v>1000</v>
      </c>
      <c r="I223" s="29">
        <f>+$O$79</f>
        <v>981.5893620135298</v>
      </c>
      <c r="J223" s="13">
        <v>0</v>
      </c>
      <c r="K223" s="13">
        <f>+$O$92</f>
        <v>1000</v>
      </c>
      <c r="L223" s="11">
        <f>+$O$96</f>
        <v>1000</v>
      </c>
      <c r="M223" s="47">
        <f>+$O$109</f>
        <v>961.066891845283</v>
      </c>
      <c r="N223" s="13">
        <f>+$O$114</f>
        <v>991.543207476431</v>
      </c>
      <c r="O223" s="13">
        <v>0</v>
      </c>
      <c r="P223" s="13">
        <f>+$O$128</f>
        <v>772.3796819606465</v>
      </c>
      <c r="Q223" s="11">
        <f>+$O$135</f>
        <v>894.6400526141026</v>
      </c>
      <c r="R223" s="11">
        <v>0</v>
      </c>
      <c r="S223" s="29">
        <f>+$O$146</f>
        <v>1000</v>
      </c>
      <c r="T223" s="13">
        <f>+$O$153</f>
        <v>886.2956210772926</v>
      </c>
      <c r="U223" s="13"/>
      <c r="V223" s="13"/>
      <c r="W223" s="13"/>
      <c r="X223" s="13">
        <f>+$O$184</f>
        <v>864.5433380886174</v>
      </c>
      <c r="Y223" s="11">
        <f>+$O$188</f>
        <v>1000</v>
      </c>
      <c r="Z223" s="13"/>
      <c r="AA223" s="11"/>
      <c r="AB223" s="11">
        <f>+$O$208</f>
        <v>937.6890385218804</v>
      </c>
      <c r="AC223" s="1"/>
      <c r="AD223" s="11"/>
      <c r="AE223" s="11"/>
      <c r="AF223" s="11"/>
      <c r="AG223" s="11"/>
      <c r="AH223" s="11"/>
      <c r="AI223" s="1"/>
      <c r="AJ223" s="11"/>
      <c r="AK223" s="11"/>
      <c r="AL223" s="1"/>
    </row>
    <row r="224" spans="1:38" ht="12.75">
      <c r="A224" s="5" t="s">
        <v>45</v>
      </c>
      <c r="B224" s="14">
        <f t="shared" si="42"/>
        <v>7095.163050400315</v>
      </c>
      <c r="C224" s="13">
        <f t="shared" si="43"/>
        <v>11</v>
      </c>
      <c r="D224" s="13"/>
      <c r="E224" s="13"/>
      <c r="F224" s="13"/>
      <c r="G224" s="11"/>
      <c r="H224" s="11"/>
      <c r="J224" s="13">
        <v>0</v>
      </c>
      <c r="K224" s="13">
        <v>0</v>
      </c>
      <c r="L224" s="11">
        <v>0</v>
      </c>
      <c r="M224" s="11">
        <f>+$O$108</f>
        <v>1000</v>
      </c>
      <c r="N224" s="13">
        <v>0</v>
      </c>
      <c r="O224" s="13">
        <f>+$O$122</f>
        <v>797.9028150869694</v>
      </c>
      <c r="P224" s="13">
        <f>+$O$127</f>
        <v>786.1439125472426</v>
      </c>
      <c r="Q224" s="11">
        <v>0</v>
      </c>
      <c r="R224" s="13">
        <f>+$O$142</f>
        <v>660.8428586796366</v>
      </c>
      <c r="S224" s="29">
        <f>+$O$147</f>
        <v>863.2875409630341</v>
      </c>
      <c r="T224" s="13">
        <f>+$O$155</f>
        <v>842.9790633718802</v>
      </c>
      <c r="U224" s="13">
        <f>+$O$164</f>
        <v>1000</v>
      </c>
      <c r="V224" s="13">
        <f>+$O$172</f>
        <v>477.8019536814566</v>
      </c>
      <c r="W224" s="13">
        <f>+$O$177</f>
        <v>918.0675395537043</v>
      </c>
      <c r="X224" s="13"/>
      <c r="Y224" s="13">
        <f>+$O$189</f>
        <v>826.3548515363111</v>
      </c>
      <c r="Z224" s="13">
        <f>+$O$194</f>
        <v>846.5712398884168</v>
      </c>
      <c r="AA224" s="13"/>
      <c r="AB224" s="11"/>
      <c r="AC224" s="11"/>
      <c r="AD224" s="29"/>
      <c r="AE224" s="1"/>
      <c r="AF224" s="1"/>
      <c r="AG224" s="11"/>
      <c r="AH224" s="11"/>
      <c r="AI224" s="11"/>
      <c r="AJ224" s="11"/>
      <c r="AK224" s="11"/>
      <c r="AL224" s="1"/>
    </row>
    <row r="225" spans="1:38" ht="12.75">
      <c r="A225" s="5" t="s">
        <v>32</v>
      </c>
      <c r="B225" s="14">
        <f t="shared" si="42"/>
        <v>6643.6970988264275</v>
      </c>
      <c r="C225" s="13">
        <f t="shared" si="43"/>
        <v>11</v>
      </c>
      <c r="D225" s="13"/>
      <c r="E225" s="13">
        <f>+$O$14</f>
        <v>825.9625590878398</v>
      </c>
      <c r="F225" s="13"/>
      <c r="G225" s="11"/>
      <c r="H225" s="11"/>
      <c r="J225" s="13">
        <f>+$O$89</f>
        <v>738.5235500610024</v>
      </c>
      <c r="K225" s="13">
        <v>0</v>
      </c>
      <c r="L225" s="11">
        <f>+$O$98</f>
        <v>694.7429127704283</v>
      </c>
      <c r="M225" s="11">
        <f>+$O$110</f>
        <v>890.314784441387</v>
      </c>
      <c r="N225" s="13">
        <f>+$O$115</f>
        <v>929.605922305576</v>
      </c>
      <c r="O225" s="13">
        <v>0</v>
      </c>
      <c r="P225" s="13">
        <f>+$O$131</f>
        <v>677.8386103577604</v>
      </c>
      <c r="Q225" s="11">
        <f>+$O$136</f>
        <v>815.917013599747</v>
      </c>
      <c r="R225" s="11">
        <v>0</v>
      </c>
      <c r="T225" s="13"/>
      <c r="U225" s="3"/>
      <c r="V225" s="13">
        <f>+$O$168</f>
        <v>1000</v>
      </c>
      <c r="W225" s="13">
        <f>+$O$181</f>
        <v>132.46813351284123</v>
      </c>
      <c r="X225" s="13"/>
      <c r="Y225" s="13"/>
      <c r="Z225" s="13">
        <f>+$O$195</f>
        <v>413.63074186887985</v>
      </c>
      <c r="AA225" s="11">
        <f>+$O$200</f>
        <v>748.6303565604463</v>
      </c>
      <c r="AB225" s="11"/>
      <c r="AC225" s="11"/>
      <c r="AD225" s="11"/>
      <c r="AE225" s="1"/>
      <c r="AF225" s="1"/>
      <c r="AG225" s="1"/>
      <c r="AH225" s="1"/>
      <c r="AI225" s="11"/>
      <c r="AJ225" s="11"/>
      <c r="AK225" s="1"/>
      <c r="AL225" s="1"/>
    </row>
    <row r="226" spans="1:38" ht="12.75">
      <c r="A226" s="5" t="s">
        <v>37</v>
      </c>
      <c r="B226" s="14">
        <f t="shared" si="42"/>
        <v>6798.356209556441</v>
      </c>
      <c r="C226" s="13">
        <f t="shared" si="43"/>
        <v>8</v>
      </c>
      <c r="D226" s="29"/>
      <c r="E226" s="13"/>
      <c r="F226" s="13"/>
      <c r="G226" s="11"/>
      <c r="H226" s="11"/>
      <c r="I226" s="29">
        <f>+$O$82</f>
        <v>887.1425744362238</v>
      </c>
      <c r="J226" s="13">
        <f>+$O$88</f>
        <v>863.5362332943503</v>
      </c>
      <c r="K226" s="13">
        <f>+$O$93</f>
        <v>870.5535502737096</v>
      </c>
      <c r="L226" s="11">
        <v>0</v>
      </c>
      <c r="M226" s="11">
        <v>0</v>
      </c>
      <c r="N226" s="13">
        <v>0</v>
      </c>
      <c r="O226" s="13">
        <v>0</v>
      </c>
      <c r="P226" s="13">
        <f>+$O$130</f>
        <v>723.9510313989908</v>
      </c>
      <c r="Q226" s="11">
        <v>0</v>
      </c>
      <c r="R226" s="11">
        <v>0</v>
      </c>
      <c r="T226" s="13">
        <f>+$O$156</f>
        <v>839.5372576729657</v>
      </c>
      <c r="U226" s="13">
        <f>+$O$166</f>
        <v>885.9735318842966</v>
      </c>
      <c r="V226" s="13">
        <f>+$O$169</f>
        <v>998.7816070587633</v>
      </c>
      <c r="W226" s="13"/>
      <c r="X226" s="13"/>
      <c r="Y226" s="11"/>
      <c r="Z226" s="13"/>
      <c r="AA226" s="13">
        <f>+$O$202</f>
        <v>728.8804235371405</v>
      </c>
      <c r="AB226" s="11"/>
      <c r="AC226" s="11"/>
      <c r="AD226" s="1"/>
      <c r="AE226" s="1"/>
      <c r="AF226" s="11"/>
      <c r="AG226" s="11"/>
      <c r="AH226" s="11"/>
      <c r="AI226" s="11"/>
      <c r="AJ226" s="1"/>
      <c r="AK226" s="11"/>
      <c r="AL226" s="1"/>
    </row>
    <row r="227" spans="1:38" ht="12.75">
      <c r="A227" s="32" t="s">
        <v>72</v>
      </c>
      <c r="B227" s="14">
        <f t="shared" si="42"/>
        <v>4569.764767872026</v>
      </c>
      <c r="C227" s="13">
        <f t="shared" si="43"/>
        <v>7</v>
      </c>
      <c r="D227" s="13">
        <f>+$O$11</f>
        <v>761.2289824753133</v>
      </c>
      <c r="E227" s="13">
        <f>+$O$16</f>
        <v>300.720752947546</v>
      </c>
      <c r="F227" s="13">
        <f>+$O$22</f>
        <v>819.9415177285828</v>
      </c>
      <c r="G227" s="11">
        <f>+$O$36</f>
        <v>720.3655117665398</v>
      </c>
      <c r="H227" s="11"/>
      <c r="J227" s="13">
        <v>0</v>
      </c>
      <c r="K227" s="13">
        <f>+$O$94</f>
        <v>860.6045908718758</v>
      </c>
      <c r="L227" s="11">
        <v>0</v>
      </c>
      <c r="M227" s="11">
        <v>0</v>
      </c>
      <c r="N227" s="13">
        <v>0</v>
      </c>
      <c r="O227" s="13">
        <v>0</v>
      </c>
      <c r="P227" s="13">
        <v>0</v>
      </c>
      <c r="Q227" s="11">
        <v>0</v>
      </c>
      <c r="R227" s="11">
        <v>0</v>
      </c>
      <c r="T227" s="13">
        <f>+$O$160</f>
        <v>644.9495243857059</v>
      </c>
      <c r="U227" s="13"/>
      <c r="V227" s="13">
        <f>+$O$173</f>
        <v>461.95388769646195</v>
      </c>
      <c r="W227" s="13"/>
      <c r="X227" s="3"/>
      <c r="Y227" s="3"/>
      <c r="Z227" s="13"/>
      <c r="AA227" s="11"/>
      <c r="AB227" s="11"/>
      <c r="AC227" s="1"/>
      <c r="AD227" s="11"/>
      <c r="AE227" s="11"/>
      <c r="AF227" s="11"/>
      <c r="AG227" s="1"/>
      <c r="AH227" s="1"/>
      <c r="AI227" s="1"/>
      <c r="AJ227" s="11"/>
      <c r="AK227" s="11"/>
      <c r="AL227" s="1"/>
    </row>
    <row r="228" spans="1:38" ht="12.75">
      <c r="A228" s="5" t="s">
        <v>28</v>
      </c>
      <c r="B228" s="14">
        <f t="shared" si="42"/>
        <v>4979.905712126821</v>
      </c>
      <c r="C228" s="13">
        <f t="shared" si="43"/>
        <v>7</v>
      </c>
      <c r="D228" s="13"/>
      <c r="E228" s="13"/>
      <c r="F228" s="13">
        <f>+$O$21</f>
        <v>835.0867990574662</v>
      </c>
      <c r="G228" s="11"/>
      <c r="H228" s="11"/>
      <c r="J228" s="13">
        <v>0</v>
      </c>
      <c r="K228" s="13">
        <v>0</v>
      </c>
      <c r="L228" s="11">
        <v>0</v>
      </c>
      <c r="M228" s="11">
        <v>0</v>
      </c>
      <c r="N228" s="13">
        <v>0</v>
      </c>
      <c r="O228" s="13">
        <f>+$O$123</f>
        <v>682.6717437672044</v>
      </c>
      <c r="P228" s="13">
        <v>0</v>
      </c>
      <c r="Q228" s="11">
        <f>+$O$137</f>
        <v>742.1543625508414</v>
      </c>
      <c r="R228" s="11">
        <f>+$O$140</f>
        <v>711.4906788179452</v>
      </c>
      <c r="S228" s="29">
        <f>+$O$149</f>
        <v>598.2440971791827</v>
      </c>
      <c r="T228" s="13">
        <f>+$O$159</f>
        <v>651.2822023170918</v>
      </c>
      <c r="U228" s="11"/>
      <c r="V228" s="11"/>
      <c r="W228" s="13"/>
      <c r="X228" s="13"/>
      <c r="Y228" s="11"/>
      <c r="Z228" s="3"/>
      <c r="AA228" s="13">
        <f>+$O$199</f>
        <v>758.975828437089</v>
      </c>
      <c r="AB228" s="1"/>
      <c r="AC228" s="11"/>
      <c r="AD228" s="1"/>
      <c r="AE228" s="11"/>
      <c r="AF228" s="11"/>
      <c r="AG228" s="1"/>
      <c r="AH228" s="11"/>
      <c r="AI228" s="1"/>
      <c r="AJ228" s="1"/>
      <c r="AK228" s="1"/>
      <c r="AL228" s="1"/>
    </row>
    <row r="229" spans="1:38" ht="12.75">
      <c r="A229" s="32" t="s">
        <v>211</v>
      </c>
      <c r="B229" s="14">
        <f t="shared" si="42"/>
        <v>4068.586906095963</v>
      </c>
      <c r="C229" s="13">
        <f t="shared" si="43"/>
        <v>6</v>
      </c>
      <c r="E229" s="13">
        <f>+$O$17</f>
        <v>268.0040799160813</v>
      </c>
      <c r="F229" s="13"/>
      <c r="G229" s="11">
        <f>+$O$37</f>
        <v>709.0033674356714</v>
      </c>
      <c r="H229" s="11"/>
      <c r="J229" s="13">
        <f>+$O$87</f>
        <v>864.1886849881097</v>
      </c>
      <c r="K229" s="13">
        <v>0</v>
      </c>
      <c r="L229" s="11">
        <v>0</v>
      </c>
      <c r="M229" s="11">
        <v>0</v>
      </c>
      <c r="N229" s="13">
        <v>0</v>
      </c>
      <c r="O229" s="13">
        <f>+$O$123</f>
        <v>682.6717437672044</v>
      </c>
      <c r="P229" s="13">
        <v>0</v>
      </c>
      <c r="Q229" s="11">
        <v>0</v>
      </c>
      <c r="R229" s="11">
        <v>0</v>
      </c>
      <c r="S229" s="29"/>
      <c r="T229" s="13">
        <f>+$O$158</f>
        <v>747.6996561765835</v>
      </c>
      <c r="U229" s="3"/>
      <c r="V229" s="3"/>
      <c r="W229" s="13">
        <f>+$O$178</f>
        <v>797.0193738123122</v>
      </c>
      <c r="X229" s="13"/>
      <c r="Y229" s="11"/>
      <c r="Z229" s="13"/>
      <c r="AA229" s="11"/>
      <c r="AB229" s="1"/>
      <c r="AC229" s="1"/>
      <c r="AD229" s="1"/>
      <c r="AE229" s="1"/>
      <c r="AF229" s="1"/>
      <c r="AG229" s="1"/>
      <c r="AH229" s="1"/>
      <c r="AI229" s="1"/>
      <c r="AJ229" s="11"/>
      <c r="AK229" s="1"/>
      <c r="AL229" s="1"/>
    </row>
    <row r="230" spans="1:38" ht="12.75">
      <c r="A230" s="5" t="s">
        <v>44</v>
      </c>
      <c r="B230" s="14">
        <f t="shared" si="42"/>
        <v>3952.343058120963</v>
      </c>
      <c r="C230" s="13">
        <f t="shared" si="43"/>
        <v>5</v>
      </c>
      <c r="D230" s="13"/>
      <c r="E230" s="13"/>
      <c r="F230" s="13">
        <f>+$O$20</f>
        <v>856.9394621259241</v>
      </c>
      <c r="G230" s="11">
        <f>+$O$35</f>
        <v>728.7447110249958</v>
      </c>
      <c r="H230" s="11">
        <f>+$O$53</f>
        <v>648.2418825554464</v>
      </c>
      <c r="I230" s="29">
        <f>+$O$81</f>
        <v>922.5206140958315</v>
      </c>
      <c r="J230" s="13">
        <v>0</v>
      </c>
      <c r="K230" s="13">
        <v>0</v>
      </c>
      <c r="L230" s="11">
        <f>+$O$97</f>
        <v>795.8963883187652</v>
      </c>
      <c r="M230" s="11">
        <v>0</v>
      </c>
      <c r="N230" s="13">
        <v>0</v>
      </c>
      <c r="O230" s="13">
        <v>0</v>
      </c>
      <c r="P230" s="13">
        <v>0</v>
      </c>
      <c r="Q230" s="11">
        <v>0</v>
      </c>
      <c r="R230" s="11">
        <v>0</v>
      </c>
      <c r="T230" s="13"/>
      <c r="U230" s="13"/>
      <c r="V230" s="13"/>
      <c r="W230" s="13"/>
      <c r="X230" s="3"/>
      <c r="Y230" s="3"/>
      <c r="Z230" s="3"/>
      <c r="AA230" s="11"/>
      <c r="AB230" s="1"/>
      <c r="AC230" s="1"/>
      <c r="AD230" s="1"/>
      <c r="AE230" s="1"/>
      <c r="AF230" s="11"/>
      <c r="AG230" s="11"/>
      <c r="AH230" s="1"/>
      <c r="AI230" s="1"/>
      <c r="AJ230" s="1"/>
      <c r="AK230" s="1"/>
      <c r="AL230" s="1"/>
    </row>
    <row r="231" spans="1:38" ht="12.75">
      <c r="A231" s="5" t="s">
        <v>33</v>
      </c>
      <c r="B231" s="14">
        <f t="shared" si="42"/>
        <v>4237.7701384380125</v>
      </c>
      <c r="C231" s="13">
        <f t="shared" si="43"/>
        <v>5</v>
      </c>
      <c r="D231" s="13"/>
      <c r="E231" s="13"/>
      <c r="F231" s="13"/>
      <c r="G231" s="11"/>
      <c r="H231" s="11"/>
      <c r="I231" s="29">
        <f>+$O$78</f>
        <v>1000</v>
      </c>
      <c r="J231" s="13">
        <v>0</v>
      </c>
      <c r="K231" s="13">
        <v>0</v>
      </c>
      <c r="L231" s="11">
        <v>0</v>
      </c>
      <c r="M231" s="11">
        <v>0</v>
      </c>
      <c r="N231" s="13">
        <v>0</v>
      </c>
      <c r="O231" s="13">
        <v>0</v>
      </c>
      <c r="P231" s="13">
        <v>0</v>
      </c>
      <c r="Q231" s="11">
        <v>0</v>
      </c>
      <c r="R231" s="11">
        <f>+$O$144</f>
        <v>473.0213945150452</v>
      </c>
      <c r="T231" s="13">
        <f>+$O$154</f>
        <v>872.7981705941293</v>
      </c>
      <c r="U231" s="13">
        <f>+$O$165</f>
        <v>945.5077673424895</v>
      </c>
      <c r="V231" s="3"/>
      <c r="W231" s="13"/>
      <c r="X231" s="3"/>
      <c r="Y231" s="11"/>
      <c r="Z231" s="13"/>
      <c r="AA231" s="13"/>
      <c r="AB231" s="11">
        <f>+$O$207</f>
        <v>946.4428059863483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>
      <c r="A232" s="5" t="s">
        <v>34</v>
      </c>
      <c r="B232" s="14">
        <f t="shared" si="42"/>
        <v>4060.691048058799</v>
      </c>
      <c r="C232" s="13">
        <f t="shared" si="43"/>
        <v>5</v>
      </c>
      <c r="D232" s="13"/>
      <c r="E232" s="13"/>
      <c r="F232" s="13"/>
      <c r="G232" s="11"/>
      <c r="H232" s="11"/>
      <c r="J232" s="33">
        <f>+$O$86</f>
        <v>869.8955029679325</v>
      </c>
      <c r="K232" s="13">
        <v>0</v>
      </c>
      <c r="L232" s="11">
        <v>0</v>
      </c>
      <c r="M232" s="11">
        <v>0</v>
      </c>
      <c r="N232" s="13">
        <v>0</v>
      </c>
      <c r="O232" s="13">
        <v>0</v>
      </c>
      <c r="P232" s="13">
        <v>0</v>
      </c>
      <c r="Q232" s="11">
        <v>0</v>
      </c>
      <c r="R232" s="11">
        <f>+$O$141</f>
        <v>681.2711360383701</v>
      </c>
      <c r="S232" s="3"/>
      <c r="T232" s="13">
        <f>+$O$157</f>
        <v>833.4100993174939</v>
      </c>
      <c r="U232" s="3"/>
      <c r="V232" s="3"/>
      <c r="W232" s="3"/>
      <c r="X232" s="13">
        <f>+$O$185</f>
        <v>788.2856229663107</v>
      </c>
      <c r="Y232" s="3"/>
      <c r="Z232" s="13">
        <f>+$O$193</f>
        <v>887.8286867686918</v>
      </c>
      <c r="AA232" s="13"/>
      <c r="AB232" s="1"/>
      <c r="AC232" s="1"/>
      <c r="AD232" s="1"/>
      <c r="AE232" s="1"/>
      <c r="AF232" s="1"/>
      <c r="AG232" s="1"/>
      <c r="AH232" s="11"/>
      <c r="AI232" s="1"/>
      <c r="AJ232" s="1"/>
      <c r="AK232" s="11"/>
      <c r="AL232" s="1"/>
    </row>
    <row r="233" spans="1:38" ht="12.75">
      <c r="A233" s="5" t="s">
        <v>47</v>
      </c>
      <c r="B233" s="14">
        <f t="shared" si="42"/>
        <v>2556.5025895865765</v>
      </c>
      <c r="C233" s="13">
        <f t="shared" si="43"/>
        <v>3</v>
      </c>
      <c r="D233" s="13"/>
      <c r="E233" s="13"/>
      <c r="F233" s="13"/>
      <c r="G233" s="11">
        <f>+$O$39</f>
        <v>698.2497505062823</v>
      </c>
      <c r="H233" s="11"/>
      <c r="J233" s="13">
        <f>+$O$85</f>
        <v>1000</v>
      </c>
      <c r="K233" s="13">
        <v>0</v>
      </c>
      <c r="L233" s="11">
        <v>0</v>
      </c>
      <c r="M233" s="11">
        <v>0</v>
      </c>
      <c r="N233" s="13">
        <v>0</v>
      </c>
      <c r="O233" s="13">
        <v>0</v>
      </c>
      <c r="P233" s="13">
        <v>0</v>
      </c>
      <c r="Q233" s="11">
        <v>0</v>
      </c>
      <c r="R233" s="11">
        <v>0</v>
      </c>
      <c r="S233" s="29"/>
      <c r="T233" s="3"/>
      <c r="U233" s="3"/>
      <c r="V233" s="13">
        <f>+$O$171</f>
        <v>858.2528390802939</v>
      </c>
      <c r="W233" s="13"/>
      <c r="X233" s="13"/>
      <c r="Y233" s="3"/>
      <c r="Z233" s="3"/>
      <c r="AA233" s="13"/>
      <c r="AB233" s="1"/>
      <c r="AC233" s="1"/>
      <c r="AD233" s="1"/>
      <c r="AE233" s="1"/>
      <c r="AF233" s="1"/>
      <c r="AG233" s="1"/>
      <c r="AH233" s="11"/>
      <c r="AI233" s="1"/>
      <c r="AJ233" s="1"/>
      <c r="AK233" s="11"/>
      <c r="AL233" s="1"/>
    </row>
    <row r="234" spans="1:38" ht="12.75">
      <c r="A234" s="5" t="s">
        <v>38</v>
      </c>
      <c r="B234" s="14">
        <f t="shared" si="42"/>
        <v>2407.878378487615</v>
      </c>
      <c r="C234" s="13">
        <f t="shared" si="43"/>
        <v>4</v>
      </c>
      <c r="D234" s="13"/>
      <c r="E234" s="13"/>
      <c r="F234" s="13">
        <f>+$O$24</f>
        <v>637.3573609688394</v>
      </c>
      <c r="G234" s="11"/>
      <c r="H234" s="11"/>
      <c r="J234" s="13">
        <v>0</v>
      </c>
      <c r="K234" s="13">
        <v>0</v>
      </c>
      <c r="L234" s="11">
        <f>+$O$100</f>
        <v>503.4364685244438</v>
      </c>
      <c r="M234" s="11">
        <v>0</v>
      </c>
      <c r="N234" s="13">
        <f>+$O$118</f>
        <v>679.0564855415221</v>
      </c>
      <c r="O234" s="13">
        <v>0</v>
      </c>
      <c r="P234" s="13">
        <v>0</v>
      </c>
      <c r="Q234" s="11">
        <v>0</v>
      </c>
      <c r="R234" s="11">
        <v>0</v>
      </c>
      <c r="T234" s="13">
        <f>+$O$162</f>
        <v>588.0280634528096</v>
      </c>
      <c r="U234" s="3"/>
      <c r="V234" s="3"/>
      <c r="W234" s="3"/>
      <c r="X234" s="3"/>
      <c r="Y234" s="11"/>
      <c r="Z234" s="3"/>
      <c r="AA234" s="3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>
      <c r="A235" s="5" t="s">
        <v>43</v>
      </c>
      <c r="B235" s="14">
        <f t="shared" si="42"/>
        <v>1991.5970588680705</v>
      </c>
      <c r="C235" s="13">
        <f t="shared" si="43"/>
        <v>3</v>
      </c>
      <c r="D235" s="13">
        <f>+$O$10</f>
        <v>785.2220693768195</v>
      </c>
      <c r="E235" s="13"/>
      <c r="F235" s="13"/>
      <c r="G235" s="11">
        <f>+$O$38</f>
        <v>708.0053925659626</v>
      </c>
      <c r="H235" s="11">
        <f>+$O$56</f>
        <v>498.3695969252883</v>
      </c>
      <c r="J235" s="13">
        <v>0</v>
      </c>
      <c r="K235" s="13">
        <v>0</v>
      </c>
      <c r="L235" s="11">
        <v>0</v>
      </c>
      <c r="M235" s="11">
        <v>0</v>
      </c>
      <c r="N235" s="13">
        <v>0</v>
      </c>
      <c r="O235" s="13">
        <v>0</v>
      </c>
      <c r="P235" s="13">
        <v>0</v>
      </c>
      <c r="Q235" s="11">
        <v>0</v>
      </c>
      <c r="R235" s="11">
        <v>0</v>
      </c>
      <c r="T235" s="3"/>
      <c r="U235" s="3"/>
      <c r="V235" s="13"/>
      <c r="W235" s="13"/>
      <c r="X235" s="3"/>
      <c r="Y235" s="3"/>
      <c r="Z235" s="3"/>
      <c r="AA235" s="3"/>
      <c r="AB235" s="1"/>
      <c r="AC235" s="11"/>
      <c r="AD235" s="1"/>
      <c r="AE235" s="1"/>
      <c r="AF235" s="1"/>
      <c r="AG235" s="11"/>
      <c r="AH235" s="1"/>
      <c r="AI235" s="1"/>
      <c r="AJ235" s="11"/>
      <c r="AK235" s="1"/>
      <c r="AL235" s="1"/>
    </row>
    <row r="236" spans="1:38" ht="12.75">
      <c r="A236" s="30" t="s">
        <v>71</v>
      </c>
      <c r="B236" s="14">
        <f t="shared" si="42"/>
        <v>1438.7768086745705</v>
      </c>
      <c r="C236" s="13">
        <f t="shared" si="43"/>
        <v>2</v>
      </c>
      <c r="D236" s="13"/>
      <c r="E236" s="13"/>
      <c r="F236" s="13">
        <f>+$O$23</f>
        <v>771.0845914720162</v>
      </c>
      <c r="G236" s="11"/>
      <c r="H236" s="11"/>
      <c r="I236" s="29">
        <f>+$O$83</f>
        <v>667.6922172025543</v>
      </c>
      <c r="J236" s="13">
        <v>0</v>
      </c>
      <c r="K236" s="13">
        <v>0</v>
      </c>
      <c r="L236" s="11">
        <v>0</v>
      </c>
      <c r="M236" s="11">
        <v>0</v>
      </c>
      <c r="N236" s="13">
        <v>0</v>
      </c>
      <c r="O236" s="13">
        <v>0</v>
      </c>
      <c r="P236" s="13">
        <v>0</v>
      </c>
      <c r="Q236" s="11">
        <v>0</v>
      </c>
      <c r="R236" s="11">
        <v>0</v>
      </c>
      <c r="T236" s="13"/>
      <c r="U236" s="3"/>
      <c r="V236" s="3"/>
      <c r="W236" s="13"/>
      <c r="X236" s="3"/>
      <c r="Y236" s="11"/>
      <c r="Z236" s="3"/>
      <c r="AA236" s="3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>
      <c r="A237" s="5" t="s">
        <v>46</v>
      </c>
      <c r="B237" s="14">
        <f t="shared" si="42"/>
        <v>1268.0232727969947</v>
      </c>
      <c r="C237" s="13">
        <f t="shared" si="43"/>
        <v>2</v>
      </c>
      <c r="D237" s="13"/>
      <c r="E237" s="13"/>
      <c r="F237" s="13"/>
      <c r="G237" s="11">
        <f>+$O$41</f>
        <v>551.9854250622517</v>
      </c>
      <c r="H237" s="11">
        <f>+$O$52</f>
        <v>716.037847734743</v>
      </c>
      <c r="J237" s="13">
        <v>0</v>
      </c>
      <c r="K237" s="13">
        <v>0</v>
      </c>
      <c r="L237" s="11">
        <v>0</v>
      </c>
      <c r="M237" s="11">
        <v>0</v>
      </c>
      <c r="N237" s="13">
        <v>0</v>
      </c>
      <c r="O237" s="13">
        <v>0</v>
      </c>
      <c r="P237" s="13">
        <v>0</v>
      </c>
      <c r="Q237" s="11">
        <v>0</v>
      </c>
      <c r="R237" s="11">
        <v>0</v>
      </c>
      <c r="T237" s="13"/>
      <c r="U237" s="3"/>
      <c r="V237" s="3"/>
      <c r="W237" s="3"/>
      <c r="X237" s="3"/>
      <c r="Y237" s="11"/>
      <c r="Z237" s="3"/>
      <c r="AA237" s="13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>
      <c r="A238" s="5" t="s">
        <v>40</v>
      </c>
      <c r="B238" s="14">
        <f t="shared" si="42"/>
        <v>925.1755712774254</v>
      </c>
      <c r="C238" s="13">
        <f t="shared" si="43"/>
        <v>1</v>
      </c>
      <c r="D238" s="13"/>
      <c r="E238" s="13"/>
      <c r="F238" s="13"/>
      <c r="G238" s="11"/>
      <c r="H238" s="11"/>
      <c r="J238" s="13">
        <v>0</v>
      </c>
      <c r="K238" s="13">
        <v>0</v>
      </c>
      <c r="L238" s="11">
        <v>0</v>
      </c>
      <c r="M238" s="11">
        <v>0</v>
      </c>
      <c r="N238" s="13">
        <f>+$O$116</f>
        <v>925.1755712774254</v>
      </c>
      <c r="O238" s="13">
        <v>0</v>
      </c>
      <c r="P238" s="13">
        <v>0</v>
      </c>
      <c r="Q238" s="11">
        <v>0</v>
      </c>
      <c r="R238" s="11">
        <v>0</v>
      </c>
      <c r="S238" s="29"/>
      <c r="T238" s="3"/>
      <c r="U238" s="3"/>
      <c r="V238" s="3"/>
      <c r="W238" s="3"/>
      <c r="X238" s="3"/>
      <c r="Y238" s="1"/>
      <c r="Z238" s="3"/>
      <c r="AA238" s="1"/>
      <c r="AB238" s="1"/>
      <c r="AC238" s="1"/>
      <c r="AD238" s="1"/>
      <c r="AE238" s="1"/>
      <c r="AF238" s="1"/>
      <c r="AG238" s="1"/>
      <c r="AH238" s="11"/>
      <c r="AI238" s="11"/>
      <c r="AJ238" s="1"/>
      <c r="AK238" s="1"/>
      <c r="AL238" s="1"/>
    </row>
    <row r="239" spans="1:38" ht="12.75">
      <c r="A239" s="30" t="s">
        <v>55</v>
      </c>
      <c r="B239" s="14">
        <f t="shared" si="42"/>
        <v>794.3530655797525</v>
      </c>
      <c r="C239" s="13">
        <f t="shared" si="43"/>
        <v>1</v>
      </c>
      <c r="D239" s="13"/>
      <c r="E239" s="13"/>
      <c r="F239" s="13"/>
      <c r="G239" s="11"/>
      <c r="H239" s="11"/>
      <c r="J239" s="13">
        <v>0</v>
      </c>
      <c r="K239" s="13">
        <v>0</v>
      </c>
      <c r="L239" s="11">
        <v>0</v>
      </c>
      <c r="M239" s="11">
        <v>0</v>
      </c>
      <c r="N239" s="13">
        <v>0</v>
      </c>
      <c r="O239" s="13">
        <v>0</v>
      </c>
      <c r="P239" s="13">
        <v>0</v>
      </c>
      <c r="Q239" s="11">
        <v>0</v>
      </c>
      <c r="R239" s="11">
        <v>0</v>
      </c>
      <c r="T239" s="13"/>
      <c r="U239" s="3"/>
      <c r="V239" s="3"/>
      <c r="W239" s="13">
        <f>+$O$179</f>
        <v>794.3530655797525</v>
      </c>
      <c r="X239" s="3"/>
      <c r="Y239" s="1"/>
      <c r="Z239" s="3"/>
      <c r="AA239" s="1"/>
      <c r="AB239" s="1"/>
      <c r="AC239" s="1"/>
      <c r="AD239" s="1"/>
      <c r="AE239" s="1"/>
      <c r="AF239" s="1"/>
      <c r="AG239" s="11"/>
      <c r="AH239" s="11"/>
      <c r="AI239" s="1"/>
      <c r="AJ239" s="1"/>
      <c r="AK239" s="1"/>
      <c r="AL239" s="1"/>
    </row>
    <row r="240" spans="1:38" ht="12.75">
      <c r="A240" s="5" t="s">
        <v>41</v>
      </c>
      <c r="B240" s="14">
        <f t="shared" si="42"/>
        <v>788.771768079923</v>
      </c>
      <c r="C240" s="13">
        <f t="shared" si="43"/>
        <v>1</v>
      </c>
      <c r="D240" s="13">
        <f>+$O$9</f>
        <v>788.771768079923</v>
      </c>
      <c r="E240" s="13"/>
      <c r="F240" s="13"/>
      <c r="G240" s="11"/>
      <c r="H240" s="11"/>
      <c r="J240" s="13">
        <v>0</v>
      </c>
      <c r="K240" s="13">
        <v>0</v>
      </c>
      <c r="L240" s="11">
        <v>0</v>
      </c>
      <c r="M240" s="11">
        <v>0</v>
      </c>
      <c r="N240" s="13">
        <v>0</v>
      </c>
      <c r="O240" s="13">
        <v>0</v>
      </c>
      <c r="P240" s="13">
        <v>0</v>
      </c>
      <c r="Q240" s="11">
        <v>0</v>
      </c>
      <c r="R240" s="11">
        <v>0</v>
      </c>
      <c r="T240" s="3"/>
      <c r="U240" s="3"/>
      <c r="V240" s="3"/>
      <c r="W240" s="3"/>
      <c r="X240" s="3"/>
      <c r="Y240" s="11"/>
      <c r="Z240" s="3"/>
      <c r="AA240" s="1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>
      <c r="A241" s="30" t="s">
        <v>64</v>
      </c>
      <c r="B241" s="14">
        <f t="shared" si="42"/>
        <v>1851.7848948294832</v>
      </c>
      <c r="C241" s="13">
        <f t="shared" si="43"/>
        <v>3</v>
      </c>
      <c r="D241" s="13"/>
      <c r="E241" s="13"/>
      <c r="F241" s="13"/>
      <c r="G241" s="11"/>
      <c r="H241" s="11"/>
      <c r="J241" s="13">
        <v>0</v>
      </c>
      <c r="K241" s="13">
        <v>0</v>
      </c>
      <c r="L241" s="11">
        <v>0</v>
      </c>
      <c r="M241" s="11">
        <v>0</v>
      </c>
      <c r="N241" s="13">
        <f>+$O$117</f>
        <v>720.1946251226445</v>
      </c>
      <c r="O241" s="13">
        <v>0</v>
      </c>
      <c r="P241" s="13">
        <v>0</v>
      </c>
      <c r="Q241" s="11">
        <v>0</v>
      </c>
      <c r="R241" s="11">
        <v>0</v>
      </c>
      <c r="T241" s="13"/>
      <c r="U241" s="3"/>
      <c r="V241" s="3"/>
      <c r="W241" s="3"/>
      <c r="X241" s="3"/>
      <c r="Y241" s="13">
        <f>+$O$190</f>
        <v>529.4045974942575</v>
      </c>
      <c r="Z241" s="3"/>
      <c r="AA241" s="13">
        <f>+$O$203</f>
        <v>602.1856722125813</v>
      </c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>
      <c r="A242" s="30" t="s">
        <v>297</v>
      </c>
      <c r="B242" s="14">
        <f t="shared" si="42"/>
        <v>1306.2026968573023</v>
      </c>
      <c r="C242" s="13">
        <f t="shared" si="43"/>
        <v>3</v>
      </c>
      <c r="D242" s="13"/>
      <c r="E242" s="13"/>
      <c r="F242" s="13"/>
      <c r="G242" s="11">
        <f>+$O$40</f>
        <v>638.0386000338494</v>
      </c>
      <c r="H242" s="11">
        <f>+$O$57</f>
        <v>367.0493634129997</v>
      </c>
      <c r="J242" s="13">
        <v>0</v>
      </c>
      <c r="K242" s="13">
        <v>0</v>
      </c>
      <c r="L242" s="11">
        <v>0</v>
      </c>
      <c r="M242" s="11">
        <v>0</v>
      </c>
      <c r="N242" s="13">
        <v>0</v>
      </c>
      <c r="O242" s="13">
        <v>0</v>
      </c>
      <c r="P242" s="13">
        <v>0</v>
      </c>
      <c r="Q242" s="11">
        <v>0</v>
      </c>
      <c r="R242" s="11">
        <v>0</v>
      </c>
      <c r="T242" s="3"/>
      <c r="U242" s="3"/>
      <c r="V242" s="3"/>
      <c r="W242" s="3"/>
      <c r="X242" s="13">
        <f>+$O$186</f>
        <v>301.1147334104532</v>
      </c>
      <c r="Y242" s="3"/>
      <c r="Z242" s="3"/>
      <c r="AA242" s="3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>
      <c r="A243" s="5"/>
      <c r="D243" s="3"/>
      <c r="E243" s="3"/>
      <c r="F243" s="1"/>
      <c r="G243" s="10"/>
      <c r="H243" s="1"/>
      <c r="I243" s="3"/>
      <c r="J243" s="3"/>
      <c r="K243" s="3"/>
      <c r="L243" s="19"/>
      <c r="M243" s="19"/>
      <c r="N243" s="19"/>
      <c r="O243" s="1"/>
      <c r="P243" s="1"/>
      <c r="Q243" s="3"/>
      <c r="R243" s="3"/>
      <c r="S243" s="3"/>
      <c r="T243" s="3"/>
      <c r="U243" s="3"/>
      <c r="V243" s="3"/>
      <c r="W243" s="3"/>
      <c r="X243" s="3"/>
      <c r="Y243" s="1"/>
      <c r="Z243" s="3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>
      <c r="A244" s="5"/>
      <c r="C244" s="13"/>
      <c r="D244" s="3"/>
      <c r="E244" s="3"/>
      <c r="F244" s="1"/>
      <c r="G244" s="10"/>
      <c r="H244" s="1"/>
      <c r="I244" s="3"/>
      <c r="J244" s="3"/>
      <c r="K244" s="3"/>
      <c r="L244" s="19"/>
      <c r="M244" s="19"/>
      <c r="N244" s="19"/>
      <c r="O244" s="1"/>
      <c r="P244" s="1"/>
      <c r="Q244" s="3"/>
      <c r="R244" s="3"/>
      <c r="S244" s="3"/>
      <c r="T244" s="3"/>
      <c r="U244" s="3"/>
      <c r="V244" s="3"/>
      <c r="W244" s="3"/>
      <c r="X244" s="3"/>
      <c r="Y244" s="1"/>
      <c r="Z244" s="3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>
      <c r="A245" s="5"/>
      <c r="B245" s="13"/>
      <c r="C245" s="13"/>
      <c r="D245" s="3"/>
      <c r="E245" s="5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3"/>
      <c r="R245" s="3"/>
      <c r="S245" s="3"/>
      <c r="T245" s="3"/>
      <c r="U245" s="3"/>
      <c r="V245" s="3"/>
      <c r="W245" s="3"/>
      <c r="X245" s="3"/>
      <c r="Y245" s="1"/>
      <c r="Z245" s="3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2:38" ht="12.75">
      <c r="B246" s="13"/>
      <c r="C246" s="1"/>
      <c r="D246" s="3"/>
      <c r="AK246" s="1"/>
      <c r="AL246" s="1"/>
    </row>
    <row r="247" spans="2:38" ht="12.75">
      <c r="B247" s="13"/>
      <c r="C247" s="1"/>
      <c r="D247" s="5"/>
      <c r="J247" s="5"/>
      <c r="AK247" s="1"/>
      <c r="AL247" s="1"/>
    </row>
    <row r="248" spans="1:38" ht="12.75">
      <c r="A248" s="5"/>
      <c r="B248" s="13"/>
      <c r="C248" s="5"/>
      <c r="D248" s="3"/>
      <c r="E248" s="3"/>
      <c r="F248" s="1"/>
      <c r="G248" s="10"/>
      <c r="H248" s="1"/>
      <c r="I248" s="3"/>
      <c r="J248" s="3"/>
      <c r="K248" s="3"/>
      <c r="L248" s="19"/>
      <c r="M248" s="19"/>
      <c r="N248" s="19"/>
      <c r="O248" s="1"/>
      <c r="P248" s="1"/>
      <c r="Q248" s="3"/>
      <c r="R248" s="3"/>
      <c r="S248" s="3"/>
      <c r="T248" s="3"/>
      <c r="U248" s="3"/>
      <c r="V248" s="3"/>
      <c r="W248" s="3"/>
      <c r="X248" s="3"/>
      <c r="Y248" s="1"/>
      <c r="Z248" s="3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2:38" ht="12.75">
      <c r="B249" s="13"/>
      <c r="C249" s="5"/>
      <c r="D249" s="5"/>
      <c r="E249" s="1"/>
      <c r="F249" s="1"/>
      <c r="G249" s="5"/>
      <c r="H249" s="5"/>
      <c r="I249" s="1"/>
      <c r="J249" s="3"/>
      <c r="K249" s="3"/>
      <c r="L249" s="19"/>
      <c r="M249" s="19"/>
      <c r="N249" s="19"/>
      <c r="O249" s="1"/>
      <c r="P249" s="1"/>
      <c r="Q249" s="3"/>
      <c r="R249" s="3"/>
      <c r="S249" s="3"/>
      <c r="T249" s="3"/>
      <c r="U249" s="3"/>
      <c r="V249" s="3"/>
      <c r="W249" s="3"/>
      <c r="X249" s="3"/>
      <c r="Y249" s="1"/>
      <c r="Z249" s="3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2:38" ht="12.75">
      <c r="B250" s="13"/>
      <c r="C250" s="5"/>
      <c r="D250" s="3"/>
      <c r="E250" s="1"/>
      <c r="F250" s="1"/>
      <c r="G250" s="5"/>
      <c r="H250" s="1"/>
      <c r="I250" s="1"/>
      <c r="J250" s="3"/>
      <c r="K250" s="3"/>
      <c r="L250" s="19"/>
      <c r="M250" s="19"/>
      <c r="N250" s="19"/>
      <c r="O250" s="1"/>
      <c r="P250" s="1"/>
      <c r="Q250" s="3"/>
      <c r="R250" s="3"/>
      <c r="S250" s="3"/>
      <c r="T250" s="3"/>
      <c r="U250" s="3"/>
      <c r="V250" s="3"/>
      <c r="W250" s="3"/>
      <c r="X250" s="3"/>
      <c r="Y250" s="1"/>
      <c r="Z250" s="3"/>
      <c r="AA250" s="3"/>
      <c r="AB250" s="3"/>
      <c r="AC250" s="3"/>
      <c r="AD250" s="25"/>
      <c r="AE250" s="1"/>
      <c r="AF250" s="3"/>
      <c r="AG250" s="1"/>
      <c r="AH250" s="1"/>
      <c r="AI250" s="1"/>
      <c r="AJ250" s="1"/>
      <c r="AK250" s="1"/>
      <c r="AL250" s="1"/>
    </row>
    <row r="251" spans="2:38" ht="12.75">
      <c r="B251" s="2"/>
      <c r="C251" s="5"/>
      <c r="D251" s="1"/>
      <c r="E251" s="20"/>
      <c r="F251" s="13"/>
      <c r="G251" s="11"/>
      <c r="H251" s="11"/>
      <c r="I251" s="1"/>
      <c r="J251" s="11"/>
      <c r="K251" s="13"/>
      <c r="L251" s="11"/>
      <c r="M251" s="11"/>
      <c r="N251" s="1"/>
      <c r="O251" s="1"/>
      <c r="P251" s="19"/>
      <c r="Q251" s="1"/>
      <c r="R251" s="1"/>
      <c r="S251" s="1"/>
      <c r="T251" s="1"/>
      <c r="U251" s="1"/>
      <c r="V251" s="1"/>
      <c r="W251" s="1"/>
      <c r="X251" s="21"/>
      <c r="Y251" s="22"/>
      <c r="Z251" s="24"/>
      <c r="AA251" s="3"/>
      <c r="AB251" s="3"/>
      <c r="AC251" s="3"/>
      <c r="AD251" s="11"/>
      <c r="AE251" s="1"/>
      <c r="AF251" s="3"/>
      <c r="AG251" s="1"/>
      <c r="AH251" s="1"/>
      <c r="AI251" s="1"/>
      <c r="AJ251" s="1"/>
      <c r="AK251" s="1"/>
      <c r="AL251" s="1"/>
    </row>
    <row r="252" spans="2:38" ht="12.75">
      <c r="B252" s="3"/>
      <c r="C252" s="11"/>
      <c r="D252" s="1"/>
      <c r="E252" s="20"/>
      <c r="F252" s="13"/>
      <c r="G252" s="11"/>
      <c r="H252" s="1"/>
      <c r="I252" s="1"/>
      <c r="J252" s="11"/>
      <c r="K252" s="13"/>
      <c r="L252" s="11"/>
      <c r="M252" s="11"/>
      <c r="N252" s="1"/>
      <c r="O252" s="1"/>
      <c r="P252" s="19"/>
      <c r="Q252" s="1"/>
      <c r="R252" s="1"/>
      <c r="S252" s="1"/>
      <c r="T252" s="1"/>
      <c r="U252" s="1"/>
      <c r="V252" s="1"/>
      <c r="W252" s="1"/>
      <c r="X252" s="1"/>
      <c r="Y252" s="1"/>
      <c r="Z252" s="24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2:38" ht="12.75">
      <c r="B253" s="5"/>
      <c r="C253" s="11"/>
      <c r="D253" s="1"/>
      <c r="E253" s="20"/>
      <c r="F253" s="20"/>
      <c r="G253" s="11"/>
      <c r="H253" s="1"/>
      <c r="I253" s="1"/>
      <c r="J253" s="11"/>
      <c r="K253" s="13"/>
      <c r="L253" s="11"/>
      <c r="M253" s="13"/>
      <c r="N253" s="11"/>
      <c r="O253" s="11"/>
      <c r="P253" s="19"/>
      <c r="Q253" s="24"/>
      <c r="R253" s="3"/>
      <c r="S253" s="3"/>
      <c r="T253" s="3"/>
      <c r="U253" s="3"/>
      <c r="V253" s="3"/>
      <c r="W253" s="3"/>
      <c r="X253" s="3"/>
      <c r="Y253" s="1"/>
      <c r="Z253" s="3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2:38" ht="12.75">
      <c r="B254" s="3"/>
      <c r="C254" s="11"/>
      <c r="D254" s="1"/>
      <c r="E254" s="20"/>
      <c r="F254" s="20"/>
      <c r="G254" s="1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2:38" ht="12.75">
      <c r="B255" s="1"/>
      <c r="C255" s="11"/>
      <c r="D255" s="1"/>
      <c r="E255" s="5"/>
      <c r="F255" s="1"/>
      <c r="G255" s="1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3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2:38" ht="12.75">
      <c r="B256" s="1"/>
      <c r="C256" s="13"/>
      <c r="D256" s="1"/>
      <c r="E256" s="5"/>
      <c r="F256" s="5"/>
      <c r="G256" s="1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2:38" ht="12.75">
      <c r="B257" s="20"/>
      <c r="C257" s="11"/>
      <c r="D257" s="1"/>
      <c r="E257" s="20"/>
      <c r="F257" s="20"/>
      <c r="G257" s="1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2:38" ht="12.75">
      <c r="B258" s="20"/>
      <c r="C258" s="11"/>
      <c r="D258" s="1"/>
      <c r="E258" s="20"/>
      <c r="F258" s="20"/>
      <c r="G258" s="1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2:38" ht="12.75">
      <c r="B259" s="5"/>
      <c r="C259" s="11"/>
      <c r="D259" s="1"/>
      <c r="E259" s="20"/>
      <c r="F259" s="20"/>
      <c r="G259" s="1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2:38" ht="12.75">
      <c r="B260" s="20"/>
      <c r="C260" s="11"/>
      <c r="D260" s="1"/>
      <c r="E260" s="20"/>
      <c r="F260" s="20"/>
      <c r="G260" s="1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2:38" ht="12.75">
      <c r="B261" s="5"/>
      <c r="C261" s="11"/>
      <c r="D261" s="1"/>
      <c r="E261" s="5"/>
      <c r="F261" s="5"/>
      <c r="G261" s="1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35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2:38" ht="12.75">
      <c r="B262" s="20"/>
      <c r="C262" s="11"/>
      <c r="D262" s="1"/>
      <c r="E262" s="20"/>
      <c r="F262" s="13"/>
      <c r="G262" s="1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2:38" ht="12.75">
      <c r="B263" s="5"/>
      <c r="C263" s="11"/>
      <c r="D263" s="1"/>
      <c r="E263" s="20"/>
      <c r="F263" s="11"/>
      <c r="G263" s="1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2:38" ht="12.75">
      <c r="B264" s="20"/>
      <c r="C264" s="11"/>
      <c r="D264" s="1"/>
      <c r="E264" s="20"/>
      <c r="F264" s="11"/>
      <c r="G264" s="1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2:38" ht="12.75">
      <c r="B265" s="5"/>
      <c r="C265" s="11"/>
      <c r="D265" s="1"/>
      <c r="E265" s="20"/>
      <c r="F265" s="11"/>
      <c r="G265" s="1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35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2:38" ht="12.75">
      <c r="B266" s="5"/>
      <c r="C266" s="11"/>
      <c r="D266" s="1"/>
      <c r="E266" s="20"/>
      <c r="F266" s="11"/>
      <c r="G266" s="1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2:38" ht="12.75">
      <c r="B267" s="20"/>
      <c r="C267" s="11"/>
      <c r="D267" s="1"/>
      <c r="E267" s="5"/>
      <c r="F267" s="3"/>
      <c r="G267" s="1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35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2:38" ht="12.75">
      <c r="B268" s="20"/>
      <c r="C268" s="11"/>
      <c r="D268" s="1"/>
      <c r="E268" s="5"/>
      <c r="F268" s="1"/>
      <c r="G268" s="1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35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2:38" ht="12.75">
      <c r="B269" s="20"/>
      <c r="C269" s="11"/>
      <c r="D269" s="1"/>
      <c r="E269" s="20"/>
      <c r="F269" s="13"/>
      <c r="G269" s="1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35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2:38" ht="12.75">
      <c r="B270" s="20"/>
      <c r="C270" s="11"/>
      <c r="D270" s="1"/>
      <c r="E270" s="20"/>
      <c r="F270" s="20"/>
      <c r="G270" s="1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35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2:38" ht="12.75">
      <c r="B271" s="5"/>
      <c r="C271" s="11"/>
      <c r="D271" s="1"/>
      <c r="E271" s="20"/>
      <c r="F271" s="20"/>
      <c r="G271" s="1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2:38" ht="12.75">
      <c r="B272" s="20"/>
      <c r="C272" s="11"/>
      <c r="D272" s="1"/>
      <c r="E272" s="20"/>
      <c r="F272" s="1"/>
      <c r="G272" s="1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2:38" ht="12.75">
      <c r="B273" s="5"/>
      <c r="C273" s="11"/>
      <c r="D273" s="1"/>
      <c r="E273" s="5"/>
      <c r="F273" s="5"/>
      <c r="G273" s="1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2:38" ht="12.75">
      <c r="B274" s="20"/>
      <c r="C274" s="11"/>
      <c r="D274" s="1"/>
      <c r="E274" s="5"/>
      <c r="F274" s="3"/>
      <c r="G274" s="1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2:38" ht="12.75">
      <c r="B275" s="5"/>
      <c r="C275" s="11"/>
      <c r="D275" s="11"/>
      <c r="E275" s="20"/>
      <c r="F275" s="20"/>
      <c r="G275" s="1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2:38" ht="12.75">
      <c r="B276" s="20"/>
      <c r="C276" s="11"/>
      <c r="D276" s="11"/>
      <c r="E276" s="11"/>
      <c r="F276" s="1"/>
      <c r="G276" s="1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2:38" ht="12.75">
      <c r="B277" s="20"/>
      <c r="C277" s="11"/>
      <c r="D277" s="11"/>
      <c r="E277" s="1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2:38" ht="12.75">
      <c r="B278" s="20"/>
      <c r="C278" s="11"/>
      <c r="D278" s="11"/>
      <c r="E278" s="1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2:38" ht="12.75">
      <c r="B279" s="20"/>
      <c r="C279" s="11"/>
      <c r="D279" s="11"/>
      <c r="E279" s="1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2:38" ht="12.75">
      <c r="B280" s="20"/>
      <c r="C280" s="11"/>
      <c r="D280" s="11"/>
      <c r="E280" s="1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2:38" ht="12.75">
      <c r="B281" s="20"/>
      <c r="C281" s="11"/>
      <c r="D281" s="11"/>
      <c r="E281" s="1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2:38" ht="12.75">
      <c r="B282" s="20"/>
      <c r="C282" s="11"/>
      <c r="D282" s="11"/>
      <c r="E282" s="1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2:38" ht="12.75">
      <c r="B283" s="1"/>
      <c r="C283" s="11"/>
      <c r="D283" s="11"/>
      <c r="E283" s="1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2:38" ht="12.75">
      <c r="B284" s="1"/>
      <c r="C284" s="11"/>
      <c r="D284" s="11"/>
      <c r="E284" s="1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2:26" ht="12.75">
      <c r="B285" s="1"/>
      <c r="C285" s="11"/>
      <c r="D285" s="11"/>
      <c r="E285" s="1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3" ht="12.75">
      <c r="B286" s="1"/>
      <c r="C286" s="11"/>
    </row>
    <row r="287" spans="2:38" ht="12.75">
      <c r="B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2:38" ht="12.75">
      <c r="B288" s="1"/>
      <c r="D288" s="3"/>
      <c r="E288" s="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2:38" ht="12.75">
      <c r="B289" s="1"/>
      <c r="C289" s="26"/>
      <c r="D289" s="13"/>
      <c r="E289" s="1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2:38" ht="12.75">
      <c r="B290" s="1"/>
      <c r="C290" s="13"/>
      <c r="D290" s="11"/>
      <c r="E290" s="1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2:38" ht="12.75">
      <c r="B291" s="1"/>
      <c r="C291" s="11"/>
      <c r="D291" s="11"/>
      <c r="E291" s="1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3:38" ht="12.75">
      <c r="C292" s="11"/>
      <c r="D292" s="11"/>
      <c r="E292" s="1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3:38" ht="12.75">
      <c r="C293" s="11"/>
      <c r="D293" s="11"/>
      <c r="E293" s="1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2:38" ht="12.75">
      <c r="B294" s="1"/>
      <c r="C294" s="11"/>
      <c r="D294" s="11"/>
      <c r="E294" s="1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2:38" ht="12.75">
      <c r="B295" s="1"/>
      <c r="C295" s="11"/>
      <c r="D295" s="11"/>
      <c r="E295" s="1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2:38" ht="12.75">
      <c r="B296" s="1"/>
      <c r="C296" s="11"/>
      <c r="D296" s="11"/>
      <c r="E296" s="1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2:38" ht="12.75">
      <c r="B297" s="1"/>
      <c r="C297" s="11"/>
      <c r="D297" s="11"/>
      <c r="E297" s="1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2:38" ht="12.75">
      <c r="B298" s="1"/>
      <c r="C298" s="11"/>
      <c r="D298" s="11"/>
      <c r="E298" s="1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2:38" ht="12.75">
      <c r="B299" s="1"/>
      <c r="C299" s="11"/>
      <c r="D299" s="11"/>
      <c r="E299" s="1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2:38" ht="12.75">
      <c r="B300" s="1"/>
      <c r="C300" s="11"/>
      <c r="D300" s="11"/>
      <c r="E300" s="1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2:38" ht="12.75">
      <c r="B301" s="1"/>
      <c r="C301" s="11"/>
      <c r="D301" s="11"/>
      <c r="E301" s="1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2:38" ht="12.75">
      <c r="B302" s="1"/>
      <c r="C302" s="11"/>
      <c r="D302" s="11"/>
      <c r="E302" s="1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2:38" ht="12.75">
      <c r="B303" s="1"/>
      <c r="C303" s="11"/>
      <c r="D303" s="11"/>
      <c r="E303" s="1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2:38" ht="12.75">
      <c r="B304" s="1"/>
      <c r="C304" s="11"/>
      <c r="D304" s="11"/>
      <c r="E304" s="1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2:38" ht="12.75">
      <c r="B305" s="1"/>
      <c r="C305" s="11"/>
      <c r="D305" s="11"/>
      <c r="E305" s="1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2:38" ht="12.75">
      <c r="B306" s="1"/>
      <c r="C306" s="11"/>
      <c r="D306" s="11"/>
      <c r="E306" s="1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2:38" ht="12.75">
      <c r="B307" s="1"/>
      <c r="C307" s="11"/>
      <c r="D307" s="11"/>
      <c r="E307" s="1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2:38" ht="12.75">
      <c r="B308" s="1"/>
      <c r="C308" s="11"/>
      <c r="D308" s="1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2:38" ht="12.75">
      <c r="B309" s="1"/>
      <c r="C309" s="11"/>
      <c r="D309" s="11"/>
      <c r="E309" s="1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2:38" ht="12.75">
      <c r="B310" s="1"/>
      <c r="C310" s="11"/>
      <c r="D310" s="11"/>
      <c r="E310" s="1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2:38" ht="12.75">
      <c r="B311" s="1"/>
      <c r="C311" s="11"/>
      <c r="D311" s="11"/>
      <c r="E311" s="1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2:38" ht="12.75">
      <c r="B312" s="1"/>
      <c r="C312" s="11"/>
      <c r="D312" s="11"/>
      <c r="E312" s="1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2:26" ht="12.75">
      <c r="B313" s="1"/>
      <c r="C313" s="11"/>
      <c r="D313" s="11"/>
      <c r="E313" s="1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3" ht="12.75">
      <c r="B314" s="1"/>
      <c r="C314" s="1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2:6" ht="12.75">
      <c r="B1" s="1"/>
      <c r="C1" s="1"/>
      <c r="D1" s="1"/>
      <c r="E1" s="1"/>
      <c r="F1" s="1"/>
    </row>
    <row r="4" spans="2:6" ht="12.75">
      <c r="B4" s="3" t="s">
        <v>53</v>
      </c>
      <c r="C4" s="1"/>
      <c r="D4" s="1"/>
      <c r="E4" s="1"/>
      <c r="F4" s="1"/>
    </row>
    <row r="5" spans="2:6" ht="12.75">
      <c r="B5" s="3"/>
      <c r="C5" s="1"/>
      <c r="D5" s="1"/>
      <c r="E5" s="1"/>
      <c r="F5" s="23"/>
    </row>
    <row r="6" spans="2:6" ht="12.75">
      <c r="B6" s="1" t="s">
        <v>44</v>
      </c>
      <c r="C6" s="1"/>
      <c r="D6" s="1"/>
      <c r="E6" s="1"/>
      <c r="F6" s="23"/>
    </row>
    <row r="7" spans="2:6" ht="12.75">
      <c r="B7" s="1" t="s">
        <v>39</v>
      </c>
      <c r="C7" s="1"/>
      <c r="D7" s="1"/>
      <c r="E7" s="1"/>
      <c r="F7" s="1"/>
    </row>
    <row r="8" spans="2:6" ht="12.75">
      <c r="B8" s="1" t="s">
        <v>31</v>
      </c>
      <c r="C8" s="1"/>
      <c r="D8" s="1"/>
      <c r="E8" s="1"/>
      <c r="F8" s="1"/>
    </row>
    <row r="9" spans="2:6" ht="12.75">
      <c r="B9" s="1" t="s">
        <v>54</v>
      </c>
      <c r="C9" s="1"/>
      <c r="D9" s="1"/>
      <c r="E9" s="1"/>
      <c r="F9" s="1"/>
    </row>
    <row r="10" spans="2:6" ht="12.75">
      <c r="B10" s="1" t="s">
        <v>55</v>
      </c>
      <c r="C10" s="1"/>
      <c r="D10" s="1"/>
      <c r="E10" s="1"/>
      <c r="F10" s="1"/>
    </row>
    <row r="11" spans="2:6" ht="12.75">
      <c r="B11" s="1" t="s">
        <v>56</v>
      </c>
      <c r="C11" s="1"/>
      <c r="D11" s="1"/>
      <c r="E11" s="1"/>
      <c r="F11" s="1"/>
    </row>
    <row r="12" spans="2:6" ht="12.75">
      <c r="B12" s="1" t="s">
        <v>57</v>
      </c>
      <c r="C12" s="1"/>
      <c r="D12" s="1"/>
      <c r="E12" s="1"/>
      <c r="F12" s="23"/>
    </row>
    <row r="13" spans="2:6" ht="12.75">
      <c r="B13" s="1" t="s">
        <v>58</v>
      </c>
      <c r="C13" s="1"/>
      <c r="D13" s="1"/>
      <c r="E13" s="1"/>
      <c r="F13" s="1"/>
    </row>
    <row r="14" spans="2:6" ht="12.75">
      <c r="B14" s="1" t="s">
        <v>30</v>
      </c>
      <c r="C14" s="1"/>
      <c r="D14" s="1"/>
      <c r="E14" s="1"/>
      <c r="F14" s="1"/>
    </row>
    <row r="15" spans="2:6" ht="12.75">
      <c r="B15" s="1" t="s">
        <v>38</v>
      </c>
      <c r="C15" s="1"/>
      <c r="D15" s="1"/>
      <c r="E15" s="1"/>
      <c r="F15" s="1"/>
    </row>
    <row r="16" spans="2:6" ht="12.75">
      <c r="B16" s="1" t="s">
        <v>50</v>
      </c>
      <c r="C16" s="1"/>
      <c r="D16" s="1"/>
      <c r="E16" s="1"/>
      <c r="F16" s="23"/>
    </row>
    <row r="17" spans="2:6" ht="12.75">
      <c r="B17" s="1" t="s">
        <v>51</v>
      </c>
      <c r="C17" s="1"/>
      <c r="D17" s="1"/>
      <c r="E17" s="1"/>
      <c r="F17" s="1"/>
    </row>
    <row r="18" spans="2:6" ht="12.75">
      <c r="B18" s="1" t="s">
        <v>59</v>
      </c>
      <c r="C18" s="1"/>
      <c r="D18" s="1"/>
      <c r="E18" s="1"/>
      <c r="F18" s="1"/>
    </row>
    <row r="19" spans="2:6" ht="12.75">
      <c r="B19" s="1" t="s">
        <v>37</v>
      </c>
      <c r="C19" s="1"/>
      <c r="D19" s="1"/>
      <c r="E19" s="1"/>
      <c r="F19" s="23"/>
    </row>
    <row r="20" spans="2:6" ht="12.75">
      <c r="B20" s="1" t="s">
        <v>60</v>
      </c>
      <c r="C20" s="1"/>
      <c r="D20" s="1"/>
      <c r="E20" s="1"/>
      <c r="F20" s="1"/>
    </row>
    <row r="21" spans="2:6" ht="12.75">
      <c r="B21" s="1" t="s">
        <v>61</v>
      </c>
      <c r="C21" s="1"/>
      <c r="D21" s="1"/>
      <c r="E21" s="1"/>
      <c r="F21" s="1"/>
    </row>
    <row r="22" spans="2:6" ht="12.75">
      <c r="B22" s="1" t="s">
        <v>34</v>
      </c>
      <c r="C22" s="1"/>
      <c r="D22" s="1"/>
      <c r="E22" s="1"/>
      <c r="F22" s="1"/>
    </row>
    <row r="23" spans="2:6" ht="12.75">
      <c r="B23" s="1" t="s">
        <v>62</v>
      </c>
      <c r="C23" s="1"/>
      <c r="D23" s="1"/>
      <c r="E23" s="1"/>
      <c r="F23" s="1"/>
    </row>
    <row r="24" spans="2:6" ht="12.75">
      <c r="B24" s="1" t="s">
        <v>63</v>
      </c>
      <c r="C24" s="1"/>
      <c r="D24" s="1"/>
      <c r="E24" s="1"/>
      <c r="F24" s="1"/>
    </row>
    <row r="25" spans="2:6" ht="12.75">
      <c r="B25" s="1" t="s">
        <v>32</v>
      </c>
      <c r="C25" s="1"/>
      <c r="D25" s="1"/>
      <c r="E25" s="1"/>
      <c r="F25" s="1"/>
    </row>
    <row r="26" spans="2:6" ht="12.75">
      <c r="B26" s="1" t="s">
        <v>45</v>
      </c>
      <c r="C26" s="1"/>
      <c r="D26" s="1"/>
      <c r="E26" s="1"/>
      <c r="F26" s="1"/>
    </row>
    <row r="27" spans="2:6" ht="12.75">
      <c r="B27" s="1" t="s">
        <v>52</v>
      </c>
      <c r="C27" s="1"/>
      <c r="D27" s="1"/>
      <c r="E27" s="1"/>
      <c r="F27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57421875" style="0" customWidth="1"/>
  </cols>
  <sheetData>
    <row r="1" ht="12.75">
      <c r="A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Chicago,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H. Cochrane</cp:lastModifiedBy>
  <cp:lastPrinted>2002-10-08T16:34:19Z</cp:lastPrinted>
  <dcterms:created xsi:type="dcterms:W3CDTF">2002-04-11T18:25:33Z</dcterms:created>
  <dcterms:modified xsi:type="dcterms:W3CDTF">2009-10-19T16:46:31Z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-190181795</vt:i4>
  </property>
  <property fmtid="{D5CDD505-2E9C-101B-9397-08002B2CF9AE}" pid="3" name="_EmailSubject">
    <vt:lpwstr/>
  </property>
  <property fmtid="{D5CDD505-2E9C-101B-9397-08002B2CF9AE}" pid="4" name="_AuthorEmail">
    <vt:lpwstr>john.cochrane@gsb.uchicago.edu</vt:lpwstr>
  </property>
  <property fmtid="{D5CDD505-2E9C-101B-9397-08002B2CF9AE}" pid="5" name="_AuthorEmailDisplayName">
    <vt:lpwstr>John Cochrane</vt:lpwstr>
  </property>
  <property fmtid="{D5CDD505-2E9C-101B-9397-08002B2CF9AE}" pid="6" name="_ReviewingToolsShownOnce">
    <vt:lpwstr/>
  </property>
</Properties>
</file>